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2120" windowHeight="8235" tabRatio="739" activeTab="0"/>
  </bookViews>
  <sheets>
    <sheet name="香蜜湖地块地价预测" sheetId="1" r:id="rId1"/>
  </sheets>
  <definedNames>
    <definedName name="jzmj">#REF!</definedName>
    <definedName name="_xlnm.Print_Titles" localSheetId="0">'香蜜湖地块地价预测'!$22:$24</definedName>
    <definedName name="xsmj">#REF!</definedName>
  </definedNames>
  <calcPr fullCalcOnLoad="1"/>
</workbook>
</file>

<file path=xl/comments1.xml><?xml version="1.0" encoding="utf-8"?>
<comments xmlns="http://schemas.openxmlformats.org/spreadsheetml/2006/main">
  <authors>
    <author>yxy</author>
  </authors>
  <commentList>
    <comment ref="C15" authorId="0">
      <text>
        <r>
          <rPr>
            <b/>
            <sz val="9"/>
            <rFont val="宋体"/>
            <family val="0"/>
          </rPr>
          <t>yxy:</t>
        </r>
        <r>
          <rPr>
            <sz val="9"/>
            <rFont val="宋体"/>
            <family val="0"/>
          </rPr>
          <t xml:space="preserve">
原预测没有</t>
        </r>
      </text>
    </comment>
    <comment ref="C6" authorId="0">
      <text>
        <r>
          <rPr>
            <b/>
            <sz val="8"/>
            <rFont val="宋体"/>
            <family val="0"/>
          </rPr>
          <t>yxy:</t>
        </r>
        <r>
          <rPr>
            <sz val="8"/>
            <rFont val="宋体"/>
            <family val="0"/>
          </rPr>
          <t xml:space="preserve">
绿化率按65％考虑</t>
        </r>
      </text>
    </comment>
    <comment ref="C13" authorId="0">
      <text>
        <r>
          <rPr>
            <b/>
            <sz val="8"/>
            <rFont val="宋体"/>
            <family val="0"/>
          </rPr>
          <t>yxy:</t>
        </r>
        <r>
          <rPr>
            <sz val="8"/>
            <rFont val="宋体"/>
            <family val="0"/>
          </rPr>
          <t xml:space="preserve">
车位与户数之比按1：1考虑</t>
        </r>
      </text>
    </comment>
    <comment ref="E20" authorId="0">
      <text>
        <r>
          <rPr>
            <b/>
            <sz val="8"/>
            <rFont val="宋体"/>
            <family val="0"/>
          </rPr>
          <t>yxy:</t>
        </r>
        <r>
          <rPr>
            <sz val="8"/>
            <rFont val="宋体"/>
            <family val="0"/>
          </rPr>
          <t xml:space="preserve">
车位收益全部按销售处理</t>
        </r>
      </text>
    </comment>
    <comment ref="E81" authorId="0">
      <text>
        <r>
          <rPr>
            <b/>
            <sz val="8"/>
            <rFont val="宋体"/>
            <family val="0"/>
          </rPr>
          <t>yxy:</t>
        </r>
        <r>
          <rPr>
            <sz val="8"/>
            <rFont val="宋体"/>
            <family val="0"/>
          </rPr>
          <t xml:space="preserve">
以此价格为该宗地正常价位</t>
        </r>
      </text>
    </comment>
  </commentList>
</comments>
</file>

<file path=xl/sharedStrings.xml><?xml version="1.0" encoding="utf-8"?>
<sst xmlns="http://schemas.openxmlformats.org/spreadsheetml/2006/main" count="115" uniqueCount="111">
  <si>
    <r>
      <t>财务费用</t>
    </r>
    <r>
      <rPr>
        <b/>
        <sz val="12"/>
        <rFont val="Times New Roman"/>
        <family val="1"/>
      </rPr>
      <t>(4%)</t>
    </r>
  </si>
  <si>
    <t>序号</t>
  </si>
  <si>
    <t>项目名称</t>
  </si>
  <si>
    <t>建筑安装成本</t>
  </si>
  <si>
    <t>一</t>
  </si>
  <si>
    <t>永久用电</t>
  </si>
  <si>
    <t>永久用水</t>
  </si>
  <si>
    <t>小区排水及排污</t>
  </si>
  <si>
    <t>交通设施及指示牌</t>
  </si>
  <si>
    <t>通讯</t>
  </si>
  <si>
    <t>公共配套</t>
  </si>
  <si>
    <t>合价（万元）</t>
  </si>
  <si>
    <t>单位成本（元／平方米）</t>
  </si>
  <si>
    <t>成本预测</t>
  </si>
  <si>
    <t>销售预测</t>
  </si>
  <si>
    <t>项目名称</t>
  </si>
  <si>
    <r>
      <t xml:space="preserve"> </t>
    </r>
    <r>
      <rPr>
        <sz val="12"/>
        <rFont val="宋体"/>
        <family val="0"/>
      </rPr>
      <t>可销售面积（㎡）</t>
    </r>
  </si>
  <si>
    <r>
      <t>销售均价（元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㎡）</t>
    </r>
  </si>
  <si>
    <t>容积率：</t>
  </si>
  <si>
    <t>户数</t>
  </si>
  <si>
    <t>其中：</t>
  </si>
  <si>
    <t>住宅总面积</t>
  </si>
  <si>
    <t>地下室面积</t>
  </si>
  <si>
    <t>金额（万元）</t>
  </si>
  <si>
    <t>按销售面积</t>
  </si>
  <si>
    <t>按建筑面积</t>
  </si>
  <si>
    <r>
      <t>备注</t>
    </r>
    <r>
      <rPr>
        <sz val="12"/>
        <rFont val="Times New Roman"/>
        <family val="1"/>
      </rPr>
      <t xml:space="preserve"> </t>
    </r>
  </si>
  <si>
    <t>600元/户</t>
  </si>
  <si>
    <t>合计</t>
  </si>
  <si>
    <t>可视对讲等弱电工程</t>
  </si>
  <si>
    <t>地上建筑面积</t>
  </si>
  <si>
    <t>总建筑面积（㎡）</t>
  </si>
  <si>
    <r>
      <t>18</t>
    </r>
    <r>
      <rPr>
        <sz val="10"/>
        <rFont val="宋体"/>
        <family val="0"/>
      </rPr>
      <t>00元/户</t>
    </r>
  </si>
  <si>
    <t>二</t>
  </si>
  <si>
    <t>前期费用：</t>
  </si>
  <si>
    <t>基础设施配套</t>
  </si>
  <si>
    <t>基本情况</t>
  </si>
  <si>
    <t>开发成本合计</t>
  </si>
  <si>
    <t>市政配套费</t>
  </si>
  <si>
    <t>小区道路</t>
  </si>
  <si>
    <t>设备房</t>
  </si>
  <si>
    <t>消防配套费</t>
  </si>
  <si>
    <r>
      <t>管理费用</t>
    </r>
    <r>
      <rPr>
        <b/>
        <sz val="12"/>
        <rFont val="Times New Roman"/>
        <family val="1"/>
      </rPr>
      <t>(2%)</t>
    </r>
  </si>
  <si>
    <t>费用合计</t>
  </si>
  <si>
    <t>建筑物首层占地面积（㎡）</t>
  </si>
  <si>
    <t>车库占地面积（㎡）</t>
  </si>
  <si>
    <t>道路面积（㎡）</t>
  </si>
  <si>
    <t>绿化、园林面积（㎡）</t>
  </si>
  <si>
    <t>幼儿园</t>
  </si>
  <si>
    <r>
      <t>不可预见费</t>
    </r>
    <r>
      <rPr>
        <b/>
        <sz val="12"/>
        <rFont val="Times New Roman"/>
        <family val="1"/>
      </rPr>
      <t>(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％</t>
    </r>
    <r>
      <rPr>
        <b/>
        <sz val="12"/>
        <rFont val="Times New Roman"/>
        <family val="1"/>
      </rPr>
      <t>)</t>
    </r>
  </si>
  <si>
    <t>垃圾站</t>
  </si>
  <si>
    <t>社区活动中心</t>
  </si>
  <si>
    <t>车库地下室</t>
  </si>
  <si>
    <t>高层住宅</t>
  </si>
  <si>
    <t>低层住宅</t>
  </si>
  <si>
    <t>按销售面积</t>
  </si>
  <si>
    <t>车位销售</t>
  </si>
  <si>
    <r>
      <t>720</t>
    </r>
    <r>
      <rPr>
        <sz val="12"/>
        <color indexed="10"/>
        <rFont val="宋体"/>
        <family val="0"/>
      </rPr>
      <t>（个）</t>
    </r>
  </si>
  <si>
    <r>
      <t>250000（元</t>
    </r>
    <r>
      <rPr>
        <sz val="12"/>
        <rFont val="宋体"/>
        <family val="0"/>
      </rPr>
      <t>/个</t>
    </r>
    <r>
      <rPr>
        <sz val="12"/>
        <rFont val="宋体"/>
        <family val="0"/>
      </rPr>
      <t>）</t>
    </r>
  </si>
  <si>
    <t>地下车库</t>
  </si>
  <si>
    <r>
      <t>负一层按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㎡，负二层按</t>
    </r>
    <r>
      <rPr>
        <sz val="10"/>
        <rFont val="Times New Roman"/>
        <family val="1"/>
      </rPr>
      <t>1200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㎡</t>
    </r>
  </si>
  <si>
    <r>
      <t>销售费用</t>
    </r>
    <r>
      <rPr>
        <b/>
        <sz val="12"/>
        <rFont val="Times New Roman"/>
        <family val="1"/>
      </rPr>
      <t>(3%)</t>
    </r>
  </si>
  <si>
    <r>
      <t>销售税金及附加</t>
    </r>
    <r>
      <rPr>
        <b/>
        <sz val="12"/>
        <rFont val="Times New Roman"/>
        <family val="1"/>
      </rPr>
      <t>(5.73%)</t>
    </r>
  </si>
  <si>
    <t>成本及费用合计</t>
  </si>
  <si>
    <t>地价预测</t>
  </si>
  <si>
    <t>幼儿园</t>
  </si>
  <si>
    <t>社区活动中心</t>
  </si>
  <si>
    <t>垃圾站</t>
  </si>
  <si>
    <t>地块规划总用地面积（㎡）</t>
  </si>
  <si>
    <t>可承受投资回报率（税前）</t>
  </si>
  <si>
    <t>平均楼面地价（元／平方米）</t>
  </si>
  <si>
    <t>主体设计费</t>
  </si>
  <si>
    <t>单体方案</t>
  </si>
  <si>
    <t>规划设计费</t>
  </si>
  <si>
    <t>综合管线设计费</t>
  </si>
  <si>
    <t>园林环境设计费</t>
  </si>
  <si>
    <t>道路排水设计费</t>
  </si>
  <si>
    <t>消防、人防设计费</t>
  </si>
  <si>
    <t>环保设计费</t>
  </si>
  <si>
    <t>其他前期费用</t>
  </si>
  <si>
    <t>地质勘探</t>
  </si>
  <si>
    <t>地震安全性评价</t>
  </si>
  <si>
    <t>防雷检测费</t>
  </si>
  <si>
    <t>商住楼建设环境评价</t>
  </si>
  <si>
    <t>小区规划透视图</t>
  </si>
  <si>
    <t>模型制作费</t>
  </si>
  <si>
    <t>白蚁防治工程</t>
  </si>
  <si>
    <t>各类报建费</t>
  </si>
  <si>
    <t>建设工程审查咨询费</t>
  </si>
  <si>
    <t>建筑施工图审查费</t>
  </si>
  <si>
    <t>招投标手续费</t>
  </si>
  <si>
    <t>临水、临电</t>
  </si>
  <si>
    <t>可行性研究费用</t>
  </si>
  <si>
    <t>设计费用</t>
  </si>
  <si>
    <r>
      <t>内含</t>
    </r>
    <r>
      <rPr>
        <b/>
        <sz val="12"/>
        <rFont val="宋体"/>
        <family val="0"/>
      </rPr>
      <t>：</t>
    </r>
  </si>
  <si>
    <t>内含：</t>
  </si>
  <si>
    <t>三</t>
  </si>
  <si>
    <t>四</t>
  </si>
  <si>
    <t>五</t>
  </si>
  <si>
    <t>六</t>
  </si>
  <si>
    <t>七</t>
  </si>
  <si>
    <t>八</t>
  </si>
  <si>
    <t>九</t>
  </si>
  <si>
    <t>（含契税在内）</t>
  </si>
  <si>
    <t>竞投报价（万元）</t>
  </si>
  <si>
    <t>地块金额（万元）</t>
  </si>
  <si>
    <t>备注</t>
  </si>
  <si>
    <t>高层住宅（含高级装修）</t>
  </si>
  <si>
    <t>低层住宅（含高级装修）</t>
  </si>
  <si>
    <t>含全套厨具和煤气管道费等</t>
  </si>
  <si>
    <r>
      <t>小区环境（</t>
    </r>
    <r>
      <rPr>
        <b/>
        <sz val="10"/>
        <rFont val="宋体"/>
        <family val="0"/>
      </rPr>
      <t>含园林、绿化等</t>
    </r>
    <r>
      <rPr>
        <b/>
        <sz val="1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</si>
</sst>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 "/>
    <numFmt numFmtId="179" formatCode="0_);[Red]\(0\)"/>
    <numFmt numFmtId="180" formatCode="0.00_);[Red]\(0.00\)"/>
    <numFmt numFmtId="181" formatCode="#,##0_);[Red]\(#,##0\)"/>
    <numFmt numFmtId="182" formatCode="#,##0_ "/>
    <numFmt numFmtId="183" formatCode="0.0%"/>
    <numFmt numFmtId="184" formatCode="0.0"/>
    <numFmt numFmtId="185" formatCode="0.00000"/>
    <numFmt numFmtId="186" formatCode="0.0000"/>
    <numFmt numFmtId="187" formatCode="0.000"/>
    <numFmt numFmtId="188" formatCode="0.000000"/>
  </numFmts>
  <fonts count="3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0"/>
    </font>
    <font>
      <sz val="12"/>
      <name val="黑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黑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10"/>
      <name val="黑体"/>
      <family val="0"/>
    </font>
    <font>
      <b/>
      <sz val="11"/>
      <color indexed="10"/>
      <name val="宋体"/>
      <family val="0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2"/>
      <color indexed="48"/>
      <name val="宋体"/>
      <family val="0"/>
    </font>
    <font>
      <sz val="12"/>
      <color indexed="57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sz val="12"/>
      <color indexed="48"/>
      <name val="Times New Roman"/>
      <family val="1"/>
    </font>
    <font>
      <b/>
      <sz val="11"/>
      <color indexed="8"/>
      <name val="宋体"/>
      <family val="0"/>
    </font>
    <font>
      <b/>
      <sz val="12"/>
      <color indexed="57"/>
      <name val="宋体"/>
      <family val="0"/>
    </font>
    <font>
      <b/>
      <sz val="11"/>
      <color indexed="57"/>
      <name val="宋体"/>
      <family val="0"/>
    </font>
    <font>
      <sz val="12"/>
      <color indexed="12"/>
      <name val="宋体"/>
      <family val="0"/>
    </font>
    <font>
      <b/>
      <sz val="12"/>
      <color indexed="12"/>
      <name val="宋体"/>
      <family val="0"/>
    </font>
    <font>
      <b/>
      <sz val="11"/>
      <color indexed="12"/>
      <name val="宋体"/>
      <family val="0"/>
    </font>
    <font>
      <b/>
      <u val="single"/>
      <sz val="10"/>
      <name val="宋体"/>
      <family val="0"/>
    </font>
    <font>
      <b/>
      <sz val="12"/>
      <color indexed="14"/>
      <name val="宋体"/>
      <family val="0"/>
    </font>
    <font>
      <sz val="8"/>
      <name val="宋体"/>
      <family val="0"/>
    </font>
    <font>
      <b/>
      <sz val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80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vertical="center"/>
    </xf>
    <xf numFmtId="180" fontId="15" fillId="2" borderId="1" xfId="0" applyNumberFormat="1" applyFont="1" applyFill="1" applyBorder="1" applyAlignment="1">
      <alignment horizontal="right" vertical="center"/>
    </xf>
    <xf numFmtId="180" fontId="18" fillId="2" borderId="1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0" fontId="1" fillId="0" borderId="0" xfId="0" applyNumberFormat="1" applyFont="1" applyAlignment="1">
      <alignment vertical="center"/>
    </xf>
    <xf numFmtId="180" fontId="0" fillId="0" borderId="2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180" fontId="0" fillId="0" borderId="1" xfId="0" applyNumberFormat="1" applyFont="1" applyBorder="1" applyAlignment="1">
      <alignment vertical="center"/>
    </xf>
    <xf numFmtId="180" fontId="0" fillId="0" borderId="3" xfId="0" applyNumberFormat="1" applyFont="1" applyBorder="1" applyAlignment="1">
      <alignment horizontal="center" vertical="center"/>
    </xf>
    <xf numFmtId="180" fontId="0" fillId="0" borderId="4" xfId="0" applyNumberFormat="1" applyFont="1" applyBorder="1" applyAlignment="1">
      <alignment horizontal="right" vertical="center"/>
    </xf>
    <xf numFmtId="180" fontId="0" fillId="0" borderId="3" xfId="0" applyNumberFormat="1" applyFont="1" applyBorder="1" applyAlignment="1">
      <alignment horizontal="left" vertical="center"/>
    </xf>
    <xf numFmtId="180" fontId="0" fillId="0" borderId="4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1" fillId="2" borderId="5" xfId="0" applyNumberFormat="1" applyFont="1" applyFill="1" applyBorder="1" applyAlignment="1">
      <alignment horizontal="center" vertical="center"/>
    </xf>
    <xf numFmtId="180" fontId="1" fillId="2" borderId="6" xfId="0" applyNumberFormat="1" applyFont="1" applyFill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180" fontId="12" fillId="0" borderId="1" xfId="0" applyNumberFormat="1" applyFont="1" applyBorder="1" applyAlignment="1">
      <alignment horizontal="center" vertical="center"/>
    </xf>
    <xf numFmtId="180" fontId="9" fillId="2" borderId="1" xfId="0" applyNumberFormat="1" applyFont="1" applyFill="1" applyBorder="1" applyAlignment="1">
      <alignment vertical="center"/>
    </xf>
    <xf numFmtId="180" fontId="11" fillId="2" borderId="1" xfId="0" applyNumberFormat="1" applyFont="1" applyFill="1" applyBorder="1" applyAlignment="1">
      <alignment horizontal="right" vertical="center"/>
    </xf>
    <xf numFmtId="180" fontId="17" fillId="2" borderId="4" xfId="0" applyNumberFormat="1" applyFont="1" applyFill="1" applyBorder="1" applyAlignment="1">
      <alignment horizontal="left" vertical="center"/>
    </xf>
    <xf numFmtId="180" fontId="9" fillId="0" borderId="0" xfId="0" applyNumberFormat="1" applyFont="1" applyAlignment="1">
      <alignment vertical="center"/>
    </xf>
    <xf numFmtId="180" fontId="11" fillId="0" borderId="1" xfId="0" applyNumberFormat="1" applyFont="1" applyFill="1" applyBorder="1" applyAlignment="1">
      <alignment horizontal="right" vertical="center"/>
    </xf>
    <xf numFmtId="180" fontId="4" fillId="0" borderId="4" xfId="0" applyNumberFormat="1" applyFont="1" applyBorder="1" applyAlignment="1">
      <alignment horizontal="left" vertical="center"/>
    </xf>
    <xf numFmtId="180" fontId="12" fillId="0" borderId="4" xfId="0" applyNumberFormat="1" applyFont="1" applyBorder="1" applyAlignment="1">
      <alignment horizontal="left" vertical="center"/>
    </xf>
    <xf numFmtId="180" fontId="14" fillId="2" borderId="4" xfId="0" applyNumberFormat="1" applyFont="1" applyFill="1" applyBorder="1" applyAlignment="1">
      <alignment horizontal="left" vertical="center"/>
    </xf>
    <xf numFmtId="180" fontId="10" fillId="0" borderId="0" xfId="0" applyNumberFormat="1" applyFont="1" applyAlignment="1">
      <alignment vertical="center"/>
    </xf>
    <xf numFmtId="180" fontId="1" fillId="0" borderId="1" xfId="0" applyNumberFormat="1" applyFont="1" applyBorder="1" applyAlignment="1">
      <alignment horizontal="left" vertical="center"/>
    </xf>
    <xf numFmtId="180" fontId="6" fillId="0" borderId="0" xfId="0" applyNumberFormat="1" applyFont="1" applyAlignment="1">
      <alignment vertical="center"/>
    </xf>
    <xf numFmtId="180" fontId="13" fillId="0" borderId="4" xfId="0" applyNumberFormat="1" applyFont="1" applyBorder="1" applyAlignment="1">
      <alignment horizontal="left" vertical="center"/>
    </xf>
    <xf numFmtId="180" fontId="11" fillId="0" borderId="0" xfId="0" applyNumberFormat="1" applyFont="1" applyAlignment="1">
      <alignment vertical="center"/>
    </xf>
    <xf numFmtId="180" fontId="15" fillId="2" borderId="1" xfId="0" applyNumberFormat="1" applyFont="1" applyFill="1" applyBorder="1" applyAlignment="1">
      <alignment horizontal="center" vertical="center"/>
    </xf>
    <xf numFmtId="180" fontId="16" fillId="2" borderId="4" xfId="0" applyNumberFormat="1" applyFont="1" applyFill="1" applyBorder="1" applyAlignment="1">
      <alignment horizontal="left" vertical="center"/>
    </xf>
    <xf numFmtId="180" fontId="15" fillId="0" borderId="0" xfId="0" applyNumberFormat="1" applyFont="1" applyAlignment="1">
      <alignment vertical="center"/>
    </xf>
    <xf numFmtId="180" fontId="12" fillId="0" borderId="4" xfId="0" applyNumberFormat="1" applyFont="1" applyBorder="1" applyAlignment="1">
      <alignment horizontal="left" vertical="center" shrinkToFit="1"/>
    </xf>
    <xf numFmtId="180" fontId="15" fillId="2" borderId="7" xfId="0" applyNumberFormat="1" applyFont="1" applyFill="1" applyBorder="1" applyAlignment="1">
      <alignment horizontal="center" vertical="center"/>
    </xf>
    <xf numFmtId="180" fontId="16" fillId="2" borderId="8" xfId="0" applyNumberFormat="1" applyFont="1" applyFill="1" applyBorder="1" applyAlignment="1">
      <alignment horizontal="left" vertical="center"/>
    </xf>
    <xf numFmtId="180" fontId="1" fillId="0" borderId="9" xfId="0" applyNumberFormat="1" applyFont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 horizontal="right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left" vertical="center"/>
    </xf>
    <xf numFmtId="0" fontId="9" fillId="2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left" vertical="center"/>
    </xf>
    <xf numFmtId="0" fontId="15" fillId="2" borderId="10" xfId="0" applyNumberFormat="1" applyFont="1" applyFill="1" applyBorder="1" applyAlignment="1">
      <alignment horizontal="left" vertical="center"/>
    </xf>
    <xf numFmtId="0" fontId="15" fillId="2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80" fontId="0" fillId="0" borderId="14" xfId="0" applyNumberFormat="1" applyFont="1" applyBorder="1" applyAlignment="1">
      <alignment vertical="center"/>
    </xf>
    <xf numFmtId="180" fontId="0" fillId="0" borderId="9" xfId="0" applyNumberFormat="1" applyFon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19" fillId="0" borderId="4" xfId="0" applyNumberFormat="1" applyFont="1" applyBorder="1" applyAlignment="1">
      <alignment horizontal="right" vertical="center"/>
    </xf>
    <xf numFmtId="180" fontId="19" fillId="0" borderId="1" xfId="0" applyNumberFormat="1" applyFont="1" applyFill="1" applyBorder="1" applyAlignment="1">
      <alignment horizontal="right" vertical="center"/>
    </xf>
    <xf numFmtId="180" fontId="18" fillId="2" borderId="1" xfId="0" applyNumberFormat="1" applyFont="1" applyFill="1" applyBorder="1" applyAlignment="1">
      <alignment vertical="center"/>
    </xf>
    <xf numFmtId="180" fontId="15" fillId="0" borderId="1" xfId="0" applyNumberFormat="1" applyFont="1" applyFill="1" applyBorder="1" applyAlignment="1">
      <alignment horizontal="right" vertical="center"/>
    </xf>
    <xf numFmtId="180" fontId="24" fillId="0" borderId="1" xfId="0" applyNumberFormat="1" applyFont="1" applyBorder="1" applyAlignment="1">
      <alignment horizontal="right" vertical="center"/>
    </xf>
    <xf numFmtId="180" fontId="15" fillId="0" borderId="1" xfId="0" applyNumberFormat="1" applyFont="1" applyBorder="1" applyAlignment="1">
      <alignment vertical="center"/>
    </xf>
    <xf numFmtId="180" fontId="15" fillId="0" borderId="1" xfId="0" applyNumberFormat="1" applyFont="1" applyFill="1" applyBorder="1" applyAlignment="1">
      <alignment vertical="center"/>
    </xf>
    <xf numFmtId="180" fontId="18" fillId="0" borderId="1" xfId="0" applyNumberFormat="1" applyFont="1" applyFill="1" applyBorder="1" applyAlignment="1">
      <alignment horizontal="right" vertical="center"/>
    </xf>
    <xf numFmtId="180" fontId="19" fillId="0" borderId="15" xfId="0" applyNumberFormat="1" applyFont="1" applyBorder="1" applyAlignment="1">
      <alignment horizontal="right" vertical="center"/>
    </xf>
    <xf numFmtId="180" fontId="15" fillId="2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5" fillId="0" borderId="8" xfId="0" applyNumberFormat="1" applyFont="1" applyBorder="1" applyAlignment="1">
      <alignment horizontal="center" vertical="center"/>
    </xf>
    <xf numFmtId="180" fontId="20" fillId="0" borderId="1" xfId="0" applyNumberFormat="1" applyFont="1" applyFill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180" fontId="15" fillId="2" borderId="0" xfId="0" applyNumberFormat="1" applyFont="1" applyFill="1" applyAlignment="1">
      <alignment vertical="center"/>
    </xf>
    <xf numFmtId="0" fontId="26" fillId="0" borderId="10" xfId="0" applyNumberFormat="1" applyFont="1" applyBorder="1" applyAlignment="1">
      <alignment horizontal="left" vertical="center"/>
    </xf>
    <xf numFmtId="180" fontId="18" fillId="2" borderId="7" xfId="0" applyNumberFormat="1" applyFont="1" applyFill="1" applyBorder="1" applyAlignment="1">
      <alignment horizontal="center" vertical="center"/>
    </xf>
    <xf numFmtId="180" fontId="26" fillId="0" borderId="1" xfId="0" applyNumberFormat="1" applyFont="1" applyBorder="1" applyAlignment="1">
      <alignment horizontal="left" vertical="center" indent="1"/>
    </xf>
    <xf numFmtId="0" fontId="9" fillId="0" borderId="10" xfId="0" applyNumberFormat="1" applyFont="1" applyFill="1" applyBorder="1" applyAlignment="1">
      <alignment horizontal="left" vertical="center"/>
    </xf>
    <xf numFmtId="180" fontId="18" fillId="0" borderId="1" xfId="0" applyNumberFormat="1" applyFont="1" applyFill="1" applyBorder="1" applyAlignment="1">
      <alignment vertical="center"/>
    </xf>
    <xf numFmtId="180" fontId="14" fillId="0" borderId="4" xfId="0" applyNumberFormat="1" applyFont="1" applyFill="1" applyBorder="1" applyAlignment="1">
      <alignment horizontal="left" vertical="center"/>
    </xf>
    <xf numFmtId="180" fontId="6" fillId="0" borderId="1" xfId="0" applyNumberFormat="1" applyFont="1" applyFill="1" applyBorder="1" applyAlignment="1">
      <alignment horizontal="left" vertical="center" indent="1"/>
    </xf>
    <xf numFmtId="180" fontId="11" fillId="0" borderId="1" xfId="0" applyNumberFormat="1" applyFont="1" applyFill="1" applyBorder="1" applyAlignment="1">
      <alignment horizontal="left" vertical="center" indent="1"/>
    </xf>
    <xf numFmtId="180" fontId="1" fillId="0" borderId="1" xfId="0" applyNumberFormat="1" applyFont="1" applyFill="1" applyBorder="1" applyAlignment="1">
      <alignment horizontal="left" vertical="center"/>
    </xf>
    <xf numFmtId="180" fontId="10" fillId="0" borderId="1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/>
    </xf>
    <xf numFmtId="0" fontId="22" fillId="2" borderId="10" xfId="0" applyNumberFormat="1" applyFont="1" applyFill="1" applyBorder="1" applyAlignment="1">
      <alignment horizontal="left" vertical="center"/>
    </xf>
    <xf numFmtId="180" fontId="27" fillId="2" borderId="1" xfId="0" applyNumberFormat="1" applyFont="1" applyFill="1" applyBorder="1" applyAlignment="1">
      <alignment horizontal="left" vertical="center"/>
    </xf>
    <xf numFmtId="180" fontId="28" fillId="2" borderId="1" xfId="0" applyNumberFormat="1" applyFont="1" applyFill="1" applyBorder="1" applyAlignment="1">
      <alignment horizontal="right" vertical="center"/>
    </xf>
    <xf numFmtId="0" fontId="29" fillId="2" borderId="10" xfId="0" applyNumberFormat="1" applyFont="1" applyFill="1" applyBorder="1" applyAlignment="1">
      <alignment horizontal="left" vertical="center"/>
    </xf>
    <xf numFmtId="180" fontId="30" fillId="2" borderId="9" xfId="0" applyNumberFormat="1" applyFont="1" applyFill="1" applyBorder="1" applyAlignment="1">
      <alignment horizontal="left" vertical="center"/>
    </xf>
    <xf numFmtId="180" fontId="31" fillId="2" borderId="1" xfId="0" applyNumberFormat="1" applyFont="1" applyFill="1" applyBorder="1" applyAlignment="1">
      <alignment horizontal="right" vertical="center"/>
    </xf>
    <xf numFmtId="0" fontId="19" fillId="2" borderId="10" xfId="0" applyNumberFormat="1" applyFont="1" applyFill="1" applyBorder="1" applyAlignment="1">
      <alignment horizontal="left" vertical="center"/>
    </xf>
    <xf numFmtId="180" fontId="15" fillId="2" borderId="1" xfId="0" applyNumberFormat="1" applyFont="1" applyFill="1" applyBorder="1" applyAlignment="1">
      <alignment horizontal="left" vertical="center"/>
    </xf>
    <xf numFmtId="180" fontId="0" fillId="0" borderId="19" xfId="0" applyNumberFormat="1" applyBorder="1" applyAlignment="1">
      <alignment horizontal="center" vertical="top"/>
    </xf>
    <xf numFmtId="180" fontId="12" fillId="0" borderId="9" xfId="0" applyNumberFormat="1" applyFont="1" applyBorder="1" applyAlignment="1">
      <alignment horizontal="center" vertical="top"/>
    </xf>
    <xf numFmtId="180" fontId="1" fillId="0" borderId="4" xfId="0" applyNumberFormat="1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center" vertical="center"/>
    </xf>
    <xf numFmtId="180" fontId="32" fillId="2" borderId="4" xfId="0" applyNumberFormat="1" applyFont="1" applyFill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180" fontId="31" fillId="2" borderId="1" xfId="0" applyNumberFormat="1" applyFont="1" applyFill="1" applyBorder="1" applyAlignment="1">
      <alignment horizontal="center" vertical="center"/>
    </xf>
    <xf numFmtId="180" fontId="28" fillId="2" borderId="1" xfId="0" applyNumberFormat="1" applyFont="1" applyFill="1" applyBorder="1" applyAlignment="1">
      <alignment horizontal="center" vertical="center"/>
    </xf>
    <xf numFmtId="180" fontId="18" fillId="2" borderId="1" xfId="0" applyNumberFormat="1" applyFont="1" applyFill="1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12" fillId="0" borderId="8" xfId="0" applyNumberFormat="1" applyFont="1" applyBorder="1" applyAlignment="1">
      <alignment horizontal="left" vertical="center"/>
    </xf>
    <xf numFmtId="180" fontId="0" fillId="0" borderId="21" xfId="0" applyNumberFormat="1" applyFont="1" applyBorder="1" applyAlignment="1">
      <alignment horizontal="center" vertical="center" wrapText="1"/>
    </xf>
    <xf numFmtId="180" fontId="9" fillId="0" borderId="22" xfId="0" applyNumberFormat="1" applyFont="1" applyBorder="1" applyAlignment="1">
      <alignment horizontal="center" vertical="center"/>
    </xf>
    <xf numFmtId="180" fontId="9" fillId="0" borderId="23" xfId="0" applyNumberFormat="1" applyFont="1" applyBorder="1" applyAlignment="1">
      <alignment horizontal="center" vertical="center"/>
    </xf>
    <xf numFmtId="180" fontId="9" fillId="0" borderId="24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180" fontId="0" fillId="0" borderId="19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12" fillId="0" borderId="26" xfId="0" applyNumberFormat="1" applyFont="1" applyBorder="1" applyAlignment="1">
      <alignment horizontal="center" vertical="center"/>
    </xf>
    <xf numFmtId="180" fontId="33" fillId="3" borderId="15" xfId="0" applyNumberFormat="1" applyFont="1" applyFill="1" applyBorder="1" applyAlignment="1">
      <alignment horizontal="center" vertical="center"/>
    </xf>
    <xf numFmtId="180" fontId="33" fillId="3" borderId="4" xfId="0" applyNumberFormat="1" applyFont="1" applyFill="1" applyBorder="1" applyAlignment="1">
      <alignment horizontal="center" vertical="center"/>
    </xf>
    <xf numFmtId="180" fontId="0" fillId="0" borderId="26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20" fillId="0" borderId="8" xfId="0" applyNumberFormat="1" applyFont="1" applyBorder="1" applyAlignment="1">
      <alignment horizontal="left" vertical="center" wrapText="1"/>
    </xf>
    <xf numFmtId="180" fontId="20" fillId="0" borderId="27" xfId="0" applyNumberFormat="1" applyFont="1" applyBorder="1" applyAlignment="1">
      <alignment horizontal="left" vertical="center" wrapText="1"/>
    </xf>
    <xf numFmtId="180" fontId="0" fillId="0" borderId="11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19" fillId="0" borderId="3" xfId="0" applyNumberFormat="1" applyFont="1" applyBorder="1" applyAlignment="1">
      <alignment horizontal="center" vertical="center"/>
    </xf>
    <xf numFmtId="180" fontId="19" fillId="0" borderId="28" xfId="0" applyNumberFormat="1" applyFont="1" applyBorder="1" applyAlignment="1">
      <alignment horizontal="center" vertical="center"/>
    </xf>
    <xf numFmtId="180" fontId="0" fillId="0" borderId="7" xfId="0" applyNumberFormat="1" applyFont="1" applyBorder="1" applyAlignment="1">
      <alignment horizontal="center" vertical="center"/>
    </xf>
    <xf numFmtId="180" fontId="0" fillId="0" borderId="9" xfId="0" applyNumberFormat="1" applyFont="1" applyBorder="1" applyAlignment="1">
      <alignment horizontal="center" vertical="center"/>
    </xf>
    <xf numFmtId="180" fontId="15" fillId="2" borderId="6" xfId="0" applyNumberFormat="1" applyFont="1" applyFill="1" applyBorder="1" applyAlignment="1">
      <alignment horizontal="center" vertical="center"/>
    </xf>
    <xf numFmtId="180" fontId="15" fillId="2" borderId="29" xfId="0" applyNumberFormat="1" applyFont="1" applyFill="1" applyBorder="1" applyAlignment="1">
      <alignment horizontal="center" vertical="center"/>
    </xf>
    <xf numFmtId="180" fontId="0" fillId="0" borderId="3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180" fontId="0" fillId="0" borderId="4" xfId="0" applyNumberFormat="1" applyFont="1" applyBorder="1" applyAlignment="1">
      <alignment horizontal="center" vertical="center"/>
    </xf>
    <xf numFmtId="180" fontId="22" fillId="0" borderId="6" xfId="0" applyNumberFormat="1" applyFont="1" applyBorder="1" applyAlignment="1">
      <alignment horizontal="center" vertical="center"/>
    </xf>
    <xf numFmtId="180" fontId="22" fillId="0" borderId="2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180" fontId="20" fillId="0" borderId="3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0" fontId="0" fillId="0" borderId="25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180" fontId="0" fillId="0" borderId="2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180" fontId="25" fillId="0" borderId="3" xfId="0" applyNumberFormat="1" applyFont="1" applyBorder="1" applyAlignment="1">
      <alignment horizontal="center" vertical="center"/>
    </xf>
    <xf numFmtId="180" fontId="21" fillId="0" borderId="2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workbookViewId="0" topLeftCell="A40">
      <selection activeCell="H60" sqref="H60"/>
    </sheetView>
  </sheetViews>
  <sheetFormatPr defaultColWidth="9.00390625" defaultRowHeight="17.25" customHeight="1"/>
  <cols>
    <col min="1" max="1" width="5.875" style="50" customWidth="1"/>
    <col min="2" max="2" width="26.625" style="40" customWidth="1"/>
    <col min="3" max="3" width="12.875" style="40" bestFit="1" customWidth="1"/>
    <col min="4" max="4" width="14.00390625" style="41" customWidth="1"/>
    <col min="5" max="5" width="18.875" style="41" customWidth="1"/>
    <col min="6" max="6" width="22.125" style="41" customWidth="1"/>
    <col min="7" max="16384" width="9.00390625" style="40" customWidth="1"/>
  </cols>
  <sheetData>
    <row r="1" spans="1:7" s="6" customFormat="1" ht="17.25" customHeight="1">
      <c r="A1" s="105" t="s">
        <v>36</v>
      </c>
      <c r="B1" s="106"/>
      <c r="C1" s="106"/>
      <c r="D1" s="106"/>
      <c r="E1" s="106"/>
      <c r="F1" s="107"/>
      <c r="G1" s="100" t="s">
        <v>106</v>
      </c>
    </row>
    <row r="2" spans="1:7" s="8" customFormat="1" ht="17.25" customHeight="1">
      <c r="A2" s="135" t="s">
        <v>68</v>
      </c>
      <c r="B2" s="136"/>
      <c r="C2" s="137">
        <v>93544</v>
      </c>
      <c r="D2" s="138"/>
      <c r="E2" s="7" t="s">
        <v>18</v>
      </c>
      <c r="F2" s="62">
        <v>1.4</v>
      </c>
      <c r="G2" s="104"/>
    </row>
    <row r="3" spans="1:7" s="8" customFormat="1" ht="17.25" customHeight="1">
      <c r="A3" s="51"/>
      <c r="B3" s="53" t="s">
        <v>44</v>
      </c>
      <c r="C3" s="121">
        <v>20579.68</v>
      </c>
      <c r="D3" s="122"/>
      <c r="E3" s="10" t="s">
        <v>19</v>
      </c>
      <c r="F3" s="54">
        <v>784</v>
      </c>
      <c r="G3" s="104"/>
    </row>
    <row r="4" spans="1:7" s="8" customFormat="1" ht="17.25" customHeight="1">
      <c r="A4" s="51"/>
      <c r="B4" s="52" t="s">
        <v>45</v>
      </c>
      <c r="C4" s="141">
        <v>0</v>
      </c>
      <c r="D4" s="142"/>
      <c r="E4" s="10"/>
      <c r="F4" s="11"/>
      <c r="G4" s="104"/>
    </row>
    <row r="5" spans="1:7" s="8" customFormat="1" ht="17.25" customHeight="1">
      <c r="A5" s="51"/>
      <c r="B5" s="52" t="s">
        <v>46</v>
      </c>
      <c r="C5" s="121">
        <v>14031.5</v>
      </c>
      <c r="D5" s="122"/>
      <c r="E5" s="123"/>
      <c r="F5" s="117"/>
      <c r="G5" s="104"/>
    </row>
    <row r="6" spans="1:7" s="8" customFormat="1" ht="17.25" customHeight="1">
      <c r="A6" s="51"/>
      <c r="B6" s="52" t="s">
        <v>47</v>
      </c>
      <c r="C6" s="121">
        <v>60803.6</v>
      </c>
      <c r="D6" s="122"/>
      <c r="E6" s="124"/>
      <c r="F6" s="118"/>
      <c r="G6" s="104"/>
    </row>
    <row r="7" spans="1:7" s="8" customFormat="1" ht="17.25" customHeight="1">
      <c r="A7" s="139" t="s">
        <v>31</v>
      </c>
      <c r="B7" s="140"/>
      <c r="C7" s="121">
        <f>C8+C13</f>
        <v>156200</v>
      </c>
      <c r="D7" s="122"/>
      <c r="E7" s="10"/>
      <c r="F7" s="13"/>
      <c r="G7" s="104"/>
    </row>
    <row r="8" spans="1:7" s="8" customFormat="1" ht="17.25" customHeight="1">
      <c r="A8" s="119" t="s">
        <v>30</v>
      </c>
      <c r="B8" s="120"/>
      <c r="C8" s="121">
        <f>SUM(C9:D12)</f>
        <v>131000</v>
      </c>
      <c r="D8" s="122"/>
      <c r="E8" s="10"/>
      <c r="F8" s="13"/>
      <c r="G8" s="104"/>
    </row>
    <row r="9" spans="1:7" s="8" customFormat="1" ht="17.25" customHeight="1">
      <c r="A9" s="42" t="s">
        <v>20</v>
      </c>
      <c r="B9" s="9" t="s">
        <v>48</v>
      </c>
      <c r="C9" s="127">
        <v>3000</v>
      </c>
      <c r="D9" s="120"/>
      <c r="E9" s="10"/>
      <c r="F9" s="13"/>
      <c r="G9" s="104"/>
    </row>
    <row r="10" spans="1:7" s="8" customFormat="1" ht="17.25" customHeight="1">
      <c r="A10" s="43"/>
      <c r="B10" s="12" t="s">
        <v>50</v>
      </c>
      <c r="C10" s="121">
        <v>50</v>
      </c>
      <c r="D10" s="122"/>
      <c r="E10" s="10"/>
      <c r="F10" s="13"/>
      <c r="G10" s="104"/>
    </row>
    <row r="11" spans="1:7" s="14" customFormat="1" ht="17.25" customHeight="1">
      <c r="A11" s="43"/>
      <c r="B11" s="12" t="s">
        <v>51</v>
      </c>
      <c r="C11" s="121">
        <v>300</v>
      </c>
      <c r="D11" s="122"/>
      <c r="E11" s="10"/>
      <c r="F11" s="13"/>
      <c r="G11" s="104"/>
    </row>
    <row r="12" spans="1:7" s="8" customFormat="1" ht="17.25" customHeight="1">
      <c r="A12" s="43"/>
      <c r="B12" s="12" t="s">
        <v>21</v>
      </c>
      <c r="C12" s="121">
        <v>127650</v>
      </c>
      <c r="D12" s="122"/>
      <c r="E12" s="10"/>
      <c r="F12" s="13"/>
      <c r="G12" s="104"/>
    </row>
    <row r="13" spans="1:7" s="8" customFormat="1" ht="17.25" customHeight="1">
      <c r="A13" s="119" t="s">
        <v>22</v>
      </c>
      <c r="B13" s="120"/>
      <c r="C13" s="121">
        <f>C14</f>
        <v>25200</v>
      </c>
      <c r="D13" s="122"/>
      <c r="E13" s="10"/>
      <c r="F13" s="13"/>
      <c r="G13" s="104"/>
    </row>
    <row r="14" spans="1:7" s="8" customFormat="1" ht="17.25" customHeight="1">
      <c r="A14" s="43" t="s">
        <v>20</v>
      </c>
      <c r="B14" s="12" t="s">
        <v>52</v>
      </c>
      <c r="C14" s="121">
        <v>25200</v>
      </c>
      <c r="D14" s="122"/>
      <c r="E14" s="10"/>
      <c r="F14" s="13"/>
      <c r="G14" s="104"/>
    </row>
    <row r="15" spans="1:6" s="8" customFormat="1" ht="17.25" customHeight="1">
      <c r="A15" s="43"/>
      <c r="B15" s="12" t="s">
        <v>40</v>
      </c>
      <c r="C15" s="130">
        <v>0</v>
      </c>
      <c r="D15" s="131"/>
      <c r="E15" s="10"/>
      <c r="F15" s="13"/>
    </row>
    <row r="16" spans="1:6" s="6" customFormat="1" ht="17.25" customHeight="1">
      <c r="A16" s="105" t="s">
        <v>14</v>
      </c>
      <c r="B16" s="106"/>
      <c r="C16" s="106"/>
      <c r="D16" s="106"/>
      <c r="E16" s="106"/>
      <c r="F16" s="107"/>
    </row>
    <row r="17" spans="1:6" s="8" customFormat="1" ht="17.25" customHeight="1">
      <c r="A17" s="43" t="s">
        <v>1</v>
      </c>
      <c r="B17" s="10" t="s">
        <v>15</v>
      </c>
      <c r="C17" s="101" t="s">
        <v>16</v>
      </c>
      <c r="D17" s="102"/>
      <c r="E17" s="10" t="s">
        <v>17</v>
      </c>
      <c r="F17" s="13" t="s">
        <v>11</v>
      </c>
    </row>
    <row r="18" spans="1:6" s="8" customFormat="1" ht="17.25" customHeight="1">
      <c r="A18" s="43">
        <v>1</v>
      </c>
      <c r="B18" s="10" t="s">
        <v>53</v>
      </c>
      <c r="C18" s="121">
        <v>108502.5</v>
      </c>
      <c r="D18" s="122"/>
      <c r="E18" s="10">
        <v>11000</v>
      </c>
      <c r="F18" s="13">
        <f>C18*E18/10000</f>
        <v>119352.75</v>
      </c>
    </row>
    <row r="19" spans="1:7" s="8" customFormat="1" ht="17.25" customHeight="1">
      <c r="A19" s="43">
        <v>2</v>
      </c>
      <c r="B19" s="10" t="s">
        <v>54</v>
      </c>
      <c r="C19" s="121">
        <v>19148</v>
      </c>
      <c r="D19" s="122"/>
      <c r="E19" s="10">
        <v>22000</v>
      </c>
      <c r="F19" s="13">
        <f>C19*E19/10000</f>
        <v>42125.6</v>
      </c>
      <c r="G19" s="15"/>
    </row>
    <row r="20" spans="1:7" s="8" customFormat="1" ht="17.25" customHeight="1">
      <c r="A20" s="64">
        <v>3</v>
      </c>
      <c r="B20" s="65" t="s">
        <v>56</v>
      </c>
      <c r="C20" s="133" t="s">
        <v>57</v>
      </c>
      <c r="D20" s="134"/>
      <c r="E20" s="65" t="s">
        <v>58</v>
      </c>
      <c r="F20" s="66">
        <f>18000</f>
        <v>18000</v>
      </c>
      <c r="G20" s="15"/>
    </row>
    <row r="21" spans="1:7" s="6" customFormat="1" ht="17.25" customHeight="1">
      <c r="A21" s="44"/>
      <c r="B21" s="16" t="s">
        <v>28</v>
      </c>
      <c r="C21" s="125"/>
      <c r="D21" s="126"/>
      <c r="E21" s="17"/>
      <c r="F21" s="63">
        <f>SUM(F18:F20)</f>
        <v>179478.35</v>
      </c>
      <c r="G21" s="18"/>
    </row>
    <row r="22" spans="1:7" s="6" customFormat="1" ht="21.75" customHeight="1">
      <c r="A22" s="105" t="s">
        <v>13</v>
      </c>
      <c r="B22" s="106"/>
      <c r="C22" s="106"/>
      <c r="D22" s="106"/>
      <c r="E22" s="106"/>
      <c r="F22" s="107"/>
      <c r="G22" s="18"/>
    </row>
    <row r="23" spans="1:6" s="6" customFormat="1" ht="17.25" customHeight="1">
      <c r="A23" s="108" t="s">
        <v>1</v>
      </c>
      <c r="B23" s="110" t="s">
        <v>2</v>
      </c>
      <c r="C23" s="115" t="s">
        <v>12</v>
      </c>
      <c r="D23" s="115"/>
      <c r="E23" s="115" t="s">
        <v>23</v>
      </c>
      <c r="F23" s="128" t="s">
        <v>26</v>
      </c>
    </row>
    <row r="24" spans="1:6" s="6" customFormat="1" ht="17.25" customHeight="1">
      <c r="A24" s="109"/>
      <c r="B24" s="111"/>
      <c r="C24" s="19" t="s">
        <v>55</v>
      </c>
      <c r="D24" s="19" t="s">
        <v>25</v>
      </c>
      <c r="E24" s="116"/>
      <c r="F24" s="129"/>
    </row>
    <row r="25" spans="1:6" s="28" customFormat="1" ht="17.25" customHeight="1">
      <c r="A25" s="45" t="s">
        <v>4</v>
      </c>
      <c r="B25" s="20" t="s">
        <v>34</v>
      </c>
      <c r="C25" s="21"/>
      <c r="D25" s="21">
        <f>D26+D27+D36</f>
        <v>87.63358778625954</v>
      </c>
      <c r="E25" s="56">
        <f>D25*131000/10000</f>
        <v>1148</v>
      </c>
      <c r="F25" s="27"/>
    </row>
    <row r="26" spans="1:6" s="28" customFormat="1" ht="17.25" customHeight="1">
      <c r="A26" s="73">
        <v>1.1</v>
      </c>
      <c r="B26" s="79" t="s">
        <v>92</v>
      </c>
      <c r="C26" s="24"/>
      <c r="D26" s="24">
        <f>E26/131000*10000</f>
        <v>7.633587786259542</v>
      </c>
      <c r="E26" s="74">
        <v>100</v>
      </c>
      <c r="F26" s="75"/>
    </row>
    <row r="27" spans="1:6" s="28" customFormat="1" ht="17.25" customHeight="1">
      <c r="A27" s="73">
        <v>1.2</v>
      </c>
      <c r="B27" s="80" t="s">
        <v>93</v>
      </c>
      <c r="C27" s="24"/>
      <c r="D27" s="24">
        <v>50</v>
      </c>
      <c r="E27" s="74">
        <f>D27*131000/10000</f>
        <v>655</v>
      </c>
      <c r="F27" s="75"/>
    </row>
    <row r="28" spans="1:6" s="28" customFormat="1" ht="17.25" customHeight="1">
      <c r="A28" s="81" t="s">
        <v>94</v>
      </c>
      <c r="B28" s="76" t="s">
        <v>71</v>
      </c>
      <c r="C28" s="24"/>
      <c r="D28" s="24"/>
      <c r="E28" s="74"/>
      <c r="F28" s="75"/>
    </row>
    <row r="29" spans="1:6" s="28" customFormat="1" ht="17.25" customHeight="1">
      <c r="A29" s="73"/>
      <c r="B29" s="76" t="s">
        <v>72</v>
      </c>
      <c r="C29" s="24"/>
      <c r="D29" s="24"/>
      <c r="E29" s="74"/>
      <c r="F29" s="75"/>
    </row>
    <row r="30" spans="1:6" s="28" customFormat="1" ht="17.25" customHeight="1">
      <c r="A30" s="73"/>
      <c r="B30" s="76" t="s">
        <v>73</v>
      </c>
      <c r="C30" s="24"/>
      <c r="D30" s="24"/>
      <c r="E30" s="74"/>
      <c r="F30" s="75"/>
    </row>
    <row r="31" spans="1:6" s="28" customFormat="1" ht="17.25" customHeight="1">
      <c r="A31" s="73"/>
      <c r="B31" s="76" t="s">
        <v>74</v>
      </c>
      <c r="C31" s="24"/>
      <c r="D31" s="24"/>
      <c r="E31" s="74"/>
      <c r="F31" s="75"/>
    </row>
    <row r="32" spans="1:6" s="28" customFormat="1" ht="17.25" customHeight="1">
      <c r="A32" s="73"/>
      <c r="B32" s="76" t="s">
        <v>75</v>
      </c>
      <c r="C32" s="24"/>
      <c r="D32" s="24"/>
      <c r="E32" s="74"/>
      <c r="F32" s="75"/>
    </row>
    <row r="33" spans="1:6" s="28" customFormat="1" ht="17.25" customHeight="1">
      <c r="A33" s="73"/>
      <c r="B33" s="76" t="s">
        <v>76</v>
      </c>
      <c r="C33" s="24"/>
      <c r="D33" s="24"/>
      <c r="E33" s="74"/>
      <c r="F33" s="75"/>
    </row>
    <row r="34" spans="1:6" s="28" customFormat="1" ht="17.25" customHeight="1">
      <c r="A34" s="73"/>
      <c r="B34" s="76" t="s">
        <v>77</v>
      </c>
      <c r="C34" s="24"/>
      <c r="D34" s="24"/>
      <c r="E34" s="74"/>
      <c r="F34" s="75"/>
    </row>
    <row r="35" spans="1:6" s="28" customFormat="1" ht="17.25" customHeight="1">
      <c r="A35" s="73"/>
      <c r="B35" s="76" t="s">
        <v>78</v>
      </c>
      <c r="C35" s="24"/>
      <c r="D35" s="24"/>
      <c r="E35" s="74"/>
      <c r="F35" s="75"/>
    </row>
    <row r="36" spans="1:6" s="28" customFormat="1" ht="17.25" customHeight="1">
      <c r="A36" s="73">
        <v>1.3</v>
      </c>
      <c r="B36" s="77" t="s">
        <v>79</v>
      </c>
      <c r="C36" s="24"/>
      <c r="D36" s="24">
        <v>30</v>
      </c>
      <c r="E36" s="74">
        <f>D36*131000/10000</f>
        <v>393</v>
      </c>
      <c r="F36" s="75"/>
    </row>
    <row r="37" spans="1:6" s="28" customFormat="1" ht="17.25" customHeight="1">
      <c r="A37" s="81" t="s">
        <v>95</v>
      </c>
      <c r="B37" s="76" t="s">
        <v>80</v>
      </c>
      <c r="C37" s="24"/>
      <c r="D37" s="24"/>
      <c r="E37" s="74"/>
      <c r="F37" s="75"/>
    </row>
    <row r="38" spans="1:6" s="28" customFormat="1" ht="17.25" customHeight="1">
      <c r="A38" s="73"/>
      <c r="B38" s="76" t="s">
        <v>81</v>
      </c>
      <c r="C38" s="24"/>
      <c r="D38" s="24"/>
      <c r="E38" s="74"/>
      <c r="F38" s="75"/>
    </row>
    <row r="39" spans="1:6" s="28" customFormat="1" ht="17.25" customHeight="1">
      <c r="A39" s="73"/>
      <c r="B39" s="76" t="s">
        <v>82</v>
      </c>
      <c r="C39" s="24"/>
      <c r="D39" s="24"/>
      <c r="E39" s="74"/>
      <c r="F39" s="75"/>
    </row>
    <row r="40" spans="1:6" s="28" customFormat="1" ht="17.25" customHeight="1">
      <c r="A40" s="73"/>
      <c r="B40" s="76" t="s">
        <v>83</v>
      </c>
      <c r="C40" s="24"/>
      <c r="D40" s="24"/>
      <c r="E40" s="74"/>
      <c r="F40" s="75"/>
    </row>
    <row r="41" spans="1:6" s="28" customFormat="1" ht="17.25" customHeight="1">
      <c r="A41" s="73"/>
      <c r="B41" s="76" t="s">
        <v>84</v>
      </c>
      <c r="C41" s="24"/>
      <c r="D41" s="24"/>
      <c r="E41" s="74"/>
      <c r="F41" s="75"/>
    </row>
    <row r="42" spans="1:6" s="28" customFormat="1" ht="17.25" customHeight="1">
      <c r="A42" s="73"/>
      <c r="B42" s="76" t="s">
        <v>85</v>
      </c>
      <c r="C42" s="24"/>
      <c r="D42" s="24"/>
      <c r="E42" s="74"/>
      <c r="F42" s="75"/>
    </row>
    <row r="43" spans="1:6" s="28" customFormat="1" ht="17.25" customHeight="1">
      <c r="A43" s="73"/>
      <c r="B43" s="76" t="s">
        <v>86</v>
      </c>
      <c r="C43" s="24"/>
      <c r="D43" s="24"/>
      <c r="E43" s="74"/>
      <c r="F43" s="75"/>
    </row>
    <row r="44" spans="1:6" s="28" customFormat="1" ht="17.25" customHeight="1">
      <c r="A44" s="73"/>
      <c r="B44" s="76" t="s">
        <v>87</v>
      </c>
      <c r="C44" s="24"/>
      <c r="D44" s="24"/>
      <c r="E44" s="74"/>
      <c r="F44" s="75"/>
    </row>
    <row r="45" spans="1:6" s="28" customFormat="1" ht="17.25" customHeight="1">
      <c r="A45" s="73"/>
      <c r="B45" s="76" t="s">
        <v>88</v>
      </c>
      <c r="C45" s="24"/>
      <c r="D45" s="24"/>
      <c r="E45" s="74"/>
      <c r="F45" s="75"/>
    </row>
    <row r="46" spans="1:6" s="28" customFormat="1" ht="17.25" customHeight="1">
      <c r="A46" s="73"/>
      <c r="B46" s="76" t="s">
        <v>89</v>
      </c>
      <c r="C46" s="24"/>
      <c r="D46" s="24"/>
      <c r="E46" s="74"/>
      <c r="F46" s="75"/>
    </row>
    <row r="47" spans="1:6" s="28" customFormat="1" ht="17.25" customHeight="1">
      <c r="A47" s="73"/>
      <c r="B47" s="76" t="s">
        <v>91</v>
      </c>
      <c r="C47" s="24"/>
      <c r="D47" s="24"/>
      <c r="E47" s="74"/>
      <c r="F47" s="75"/>
    </row>
    <row r="48" spans="1:6" s="28" customFormat="1" ht="17.25" customHeight="1">
      <c r="A48" s="73"/>
      <c r="B48" s="76" t="s">
        <v>90</v>
      </c>
      <c r="C48" s="78"/>
      <c r="D48" s="78"/>
      <c r="E48" s="78"/>
      <c r="F48" s="75"/>
    </row>
    <row r="49" spans="1:6" s="23" customFormat="1" ht="17.25" customHeight="1">
      <c r="A49" s="45" t="s">
        <v>33</v>
      </c>
      <c r="B49" s="20" t="s">
        <v>3</v>
      </c>
      <c r="C49" s="21"/>
      <c r="D49" s="21"/>
      <c r="E49" s="56">
        <f>SUM(E50:E55)</f>
        <v>33999.979999999996</v>
      </c>
      <c r="F49" s="22"/>
    </row>
    <row r="50" spans="1:6" s="6" customFormat="1" ht="17.25" customHeight="1">
      <c r="A50" s="46">
        <v>2.1</v>
      </c>
      <c r="B50" s="99" t="s">
        <v>107</v>
      </c>
      <c r="C50" s="24"/>
      <c r="D50" s="24">
        <v>2400</v>
      </c>
      <c r="E50" s="57">
        <f>D50*108502/10000</f>
        <v>26040.48</v>
      </c>
      <c r="F50" s="103" t="s">
        <v>109</v>
      </c>
    </row>
    <row r="51" spans="1:6" s="6" customFormat="1" ht="17.25" customHeight="1">
      <c r="A51" s="46">
        <v>2.2</v>
      </c>
      <c r="B51" s="72" t="s">
        <v>108</v>
      </c>
      <c r="C51" s="5"/>
      <c r="D51" s="5">
        <v>2500</v>
      </c>
      <c r="E51" s="55">
        <f>D51*19148/10000</f>
        <v>4787</v>
      </c>
      <c r="F51" s="132"/>
    </row>
    <row r="52" spans="1:6" s="6" customFormat="1" ht="17.25" customHeight="1">
      <c r="A52" s="46">
        <v>2.3</v>
      </c>
      <c r="B52" s="72" t="s">
        <v>65</v>
      </c>
      <c r="C52" s="5"/>
      <c r="D52" s="5">
        <v>1200</v>
      </c>
      <c r="E52" s="67">
        <f>C9*D52/10000</f>
        <v>360</v>
      </c>
      <c r="F52" s="26"/>
    </row>
    <row r="53" spans="1:6" s="6" customFormat="1" ht="17.25" customHeight="1">
      <c r="A53" s="46">
        <v>2.4</v>
      </c>
      <c r="B53" s="72" t="s">
        <v>66</v>
      </c>
      <c r="C53" s="5"/>
      <c r="D53" s="5">
        <v>1200</v>
      </c>
      <c r="E53" s="55">
        <f>300*D53/10000</f>
        <v>36</v>
      </c>
      <c r="F53" s="26"/>
    </row>
    <row r="54" spans="1:6" s="6" customFormat="1" ht="17.25" customHeight="1">
      <c r="A54" s="46">
        <v>2.5</v>
      </c>
      <c r="B54" s="72" t="s">
        <v>67</v>
      </c>
      <c r="C54" s="5"/>
      <c r="D54" s="5">
        <v>900</v>
      </c>
      <c r="E54" s="55">
        <f>50*D54/10000</f>
        <v>4.5</v>
      </c>
      <c r="F54" s="26"/>
    </row>
    <row r="55" spans="1:6" s="30" customFormat="1" ht="17.25" customHeight="1">
      <c r="A55" s="70">
        <v>2.6</v>
      </c>
      <c r="B55" s="72" t="s">
        <v>59</v>
      </c>
      <c r="C55" s="5"/>
      <c r="D55" s="5">
        <v>1100</v>
      </c>
      <c r="E55" s="58">
        <v>2772</v>
      </c>
      <c r="F55" s="36" t="s">
        <v>60</v>
      </c>
    </row>
    <row r="56" spans="1:6" s="23" customFormat="1" ht="17.25" customHeight="1">
      <c r="A56" s="45" t="s">
        <v>96</v>
      </c>
      <c r="B56" s="20" t="s">
        <v>35</v>
      </c>
      <c r="C56" s="21"/>
      <c r="D56" s="21"/>
      <c r="E56" s="56">
        <f>E57+E58+E59+E60+E61+G65+E62+E63</f>
        <v>2291.5639999999994</v>
      </c>
      <c r="F56" s="22"/>
    </row>
    <row r="57" spans="1:6" s="6" customFormat="1" ht="17.25" customHeight="1">
      <c r="A57" s="46">
        <v>3.1</v>
      </c>
      <c r="B57" s="2" t="s">
        <v>5</v>
      </c>
      <c r="C57" s="24"/>
      <c r="D57" s="24">
        <v>70</v>
      </c>
      <c r="E57" s="59">
        <v>917</v>
      </c>
      <c r="F57" s="25"/>
    </row>
    <row r="58" spans="1:6" s="6" customFormat="1" ht="17.25" customHeight="1">
      <c r="A58" s="46">
        <v>3.2</v>
      </c>
      <c r="B58" s="2" t="s">
        <v>6</v>
      </c>
      <c r="C58" s="24"/>
      <c r="D58" s="24">
        <v>10</v>
      </c>
      <c r="E58" s="2">
        <v>131</v>
      </c>
      <c r="F58" s="25"/>
    </row>
    <row r="59" spans="1:6" s="6" customFormat="1" ht="17.25" customHeight="1">
      <c r="A59" s="46">
        <v>3.3</v>
      </c>
      <c r="B59" s="2" t="s">
        <v>7</v>
      </c>
      <c r="C59" s="24"/>
      <c r="D59" s="24">
        <v>8.5</v>
      </c>
      <c r="E59" s="2">
        <v>112.11</v>
      </c>
      <c r="F59" s="25"/>
    </row>
    <row r="60" spans="1:6" s="6" customFormat="1" ht="17.25" customHeight="1">
      <c r="A60" s="46">
        <v>3.4</v>
      </c>
      <c r="B60" s="2" t="s">
        <v>110</v>
      </c>
      <c r="C60" s="24"/>
      <c r="D60" s="24"/>
      <c r="E60" s="60">
        <f>C6*150/10000</f>
        <v>912.054</v>
      </c>
      <c r="F60" s="25"/>
    </row>
    <row r="61" spans="1:6" s="6" customFormat="1" ht="17.25" customHeight="1">
      <c r="A61" s="46">
        <v>3.5</v>
      </c>
      <c r="B61" s="2" t="s">
        <v>8</v>
      </c>
      <c r="C61" s="24"/>
      <c r="D61" s="24">
        <v>2</v>
      </c>
      <c r="E61" s="59">
        <f>D61*$C$7/10000</f>
        <v>31.24</v>
      </c>
      <c r="F61" s="25"/>
    </row>
    <row r="62" spans="1:6" s="6" customFormat="1" ht="17.25" customHeight="1">
      <c r="A62" s="46">
        <v>3.6</v>
      </c>
      <c r="B62" s="29" t="s">
        <v>9</v>
      </c>
      <c r="C62" s="24"/>
      <c r="D62" s="24"/>
      <c r="E62" s="59">
        <f>600*F3/10000</f>
        <v>47.04</v>
      </c>
      <c r="F62" s="26" t="s">
        <v>27</v>
      </c>
    </row>
    <row r="63" spans="1:6" s="6" customFormat="1" ht="17.25" customHeight="1">
      <c r="A63" s="46">
        <v>3.7</v>
      </c>
      <c r="B63" s="29" t="s">
        <v>29</v>
      </c>
      <c r="C63" s="24"/>
      <c r="D63" s="24"/>
      <c r="E63" s="59">
        <f>1800*F3/10000</f>
        <v>141.12</v>
      </c>
      <c r="F63" s="31" t="s">
        <v>32</v>
      </c>
    </row>
    <row r="64" spans="1:6" s="23" customFormat="1" ht="17.25" customHeight="1">
      <c r="A64" s="45" t="s">
        <v>97</v>
      </c>
      <c r="B64" s="20" t="s">
        <v>10</v>
      </c>
      <c r="C64" s="21"/>
      <c r="D64" s="21">
        <f>E64/$C$7*10000</f>
        <v>75.87455185659411</v>
      </c>
      <c r="E64" s="56">
        <f>SUM(E65:E67)</f>
        <v>1185.1605</v>
      </c>
      <c r="F64" s="22"/>
    </row>
    <row r="65" spans="1:6" s="32" customFormat="1" ht="17.25" customHeight="1">
      <c r="A65" s="47">
        <v>4.1</v>
      </c>
      <c r="B65" s="2" t="s">
        <v>39</v>
      </c>
      <c r="C65" s="24"/>
      <c r="D65" s="24"/>
      <c r="E65" s="61">
        <f>C5*150/10000</f>
        <v>210.4725</v>
      </c>
      <c r="F65" s="25"/>
    </row>
    <row r="66" spans="1:6" s="32" customFormat="1" ht="17.25" customHeight="1">
      <c r="A66" s="47">
        <v>4.2</v>
      </c>
      <c r="B66" s="2" t="s">
        <v>38</v>
      </c>
      <c r="C66" s="24"/>
      <c r="D66" s="24">
        <v>59.4</v>
      </c>
      <c r="E66" s="61">
        <f>D66*C7/10000</f>
        <v>927.828</v>
      </c>
      <c r="F66" s="25"/>
    </row>
    <row r="67" spans="1:6" s="32" customFormat="1" ht="17.25" customHeight="1">
      <c r="A67" s="47">
        <v>4.3</v>
      </c>
      <c r="B67" s="2" t="s">
        <v>41</v>
      </c>
      <c r="C67" s="24"/>
      <c r="D67" s="24">
        <v>3</v>
      </c>
      <c r="E67" s="59">
        <f>D67*C7/10000</f>
        <v>46.86</v>
      </c>
      <c r="F67" s="25"/>
    </row>
    <row r="68" spans="1:6" s="35" customFormat="1" ht="17.25" customHeight="1">
      <c r="A68" s="48"/>
      <c r="B68" s="33" t="s">
        <v>37</v>
      </c>
      <c r="C68" s="4"/>
      <c r="D68" s="4">
        <f>E68/$C$7*10000</f>
        <v>2472.7723751600506</v>
      </c>
      <c r="E68" s="3">
        <f>SUM(E25,E49,E56,E64)</f>
        <v>38624.70449999999</v>
      </c>
      <c r="F68" s="34"/>
    </row>
    <row r="69" spans="1:6" s="6" customFormat="1" ht="17.25" customHeight="1">
      <c r="A69" s="46" t="s">
        <v>98</v>
      </c>
      <c r="B69" s="2" t="s">
        <v>61</v>
      </c>
      <c r="C69" s="24"/>
      <c r="D69" s="24"/>
      <c r="E69" s="1">
        <f>F21*3%</f>
        <v>5384.3505</v>
      </c>
      <c r="F69" s="36"/>
    </row>
    <row r="70" spans="1:6" s="6" customFormat="1" ht="17.25" customHeight="1">
      <c r="A70" s="46" t="s">
        <v>99</v>
      </c>
      <c r="B70" s="2" t="s">
        <v>0</v>
      </c>
      <c r="C70" s="24"/>
      <c r="D70" s="24"/>
      <c r="E70" s="1">
        <f>F$21*4%</f>
        <v>7179.134</v>
      </c>
      <c r="F70" s="25"/>
    </row>
    <row r="71" spans="1:6" s="6" customFormat="1" ht="17.25" customHeight="1">
      <c r="A71" s="46" t="s">
        <v>100</v>
      </c>
      <c r="B71" s="2" t="s">
        <v>42</v>
      </c>
      <c r="C71" s="24"/>
      <c r="D71" s="24"/>
      <c r="E71" s="1">
        <f>F$21*2%</f>
        <v>3589.567</v>
      </c>
      <c r="F71" s="25"/>
    </row>
    <row r="72" spans="1:6" s="6" customFormat="1" ht="17.25" customHeight="1">
      <c r="A72" s="46" t="s">
        <v>101</v>
      </c>
      <c r="B72" s="2" t="s">
        <v>49</v>
      </c>
      <c r="C72" s="24"/>
      <c r="D72" s="24"/>
      <c r="E72" s="1">
        <f>F$21*2%</f>
        <v>3589.567</v>
      </c>
      <c r="F72" s="25"/>
    </row>
    <row r="73" spans="1:6" s="6" customFormat="1" ht="17.25" customHeight="1">
      <c r="A73" s="46" t="s">
        <v>102</v>
      </c>
      <c r="B73" s="2" t="s">
        <v>62</v>
      </c>
      <c r="C73" s="24"/>
      <c r="D73" s="24"/>
      <c r="E73" s="1">
        <f>F$21*5.73%</f>
        <v>10284.109455000002</v>
      </c>
      <c r="F73" s="25"/>
    </row>
    <row r="74" spans="1:6" s="6" customFormat="1" ht="17.25" customHeight="1">
      <c r="A74" s="49"/>
      <c r="B74" s="69"/>
      <c r="C74" s="4"/>
      <c r="D74" s="37" t="s">
        <v>43</v>
      </c>
      <c r="E74" s="3">
        <f>SUM(E69:E73)</f>
        <v>30026.727955</v>
      </c>
      <c r="F74" s="38"/>
    </row>
    <row r="75" spans="1:6" s="6" customFormat="1" ht="17.25" customHeight="1">
      <c r="A75" s="49"/>
      <c r="B75" s="69"/>
      <c r="C75" s="4"/>
      <c r="D75" s="71" t="s">
        <v>63</v>
      </c>
      <c r="E75" s="3">
        <f>SUM(E68,E74)</f>
        <v>68651.43245499999</v>
      </c>
      <c r="F75" s="38"/>
    </row>
    <row r="76" spans="1:6" s="6" customFormat="1" ht="17.25" customHeight="1">
      <c r="A76" s="105" t="s">
        <v>64</v>
      </c>
      <c r="B76" s="106"/>
      <c r="C76" s="106"/>
      <c r="D76" s="106"/>
      <c r="E76" s="106"/>
      <c r="F76" s="107"/>
    </row>
    <row r="77" spans="1:6" s="6" customFormat="1" ht="17.25" customHeight="1">
      <c r="A77" s="108" t="s">
        <v>1</v>
      </c>
      <c r="B77" s="110" t="s">
        <v>69</v>
      </c>
      <c r="C77" s="112" t="s">
        <v>70</v>
      </c>
      <c r="D77" s="112"/>
      <c r="E77" s="90" t="s">
        <v>105</v>
      </c>
      <c r="F77" s="113" t="s">
        <v>104</v>
      </c>
    </row>
    <row r="78" spans="1:6" s="6" customFormat="1" ht="17.25" customHeight="1">
      <c r="A78" s="109"/>
      <c r="B78" s="111"/>
      <c r="C78" s="19" t="s">
        <v>24</v>
      </c>
      <c r="D78" s="19" t="s">
        <v>25</v>
      </c>
      <c r="E78" s="91" t="s">
        <v>103</v>
      </c>
      <c r="F78" s="114"/>
    </row>
    <row r="79" spans="1:6" s="6" customFormat="1" ht="17.25" customHeight="1">
      <c r="A79" s="68">
        <v>1</v>
      </c>
      <c r="B79" s="39">
        <v>0.3</v>
      </c>
      <c r="C79" s="19"/>
      <c r="D79" s="19">
        <f>E79/C12*10000</f>
        <v>5437.433354936877</v>
      </c>
      <c r="E79" s="95">
        <f>F21/(B79+1)-E75</f>
        <v>69408.83677576923</v>
      </c>
      <c r="F79" s="92">
        <f>E79/1.03</f>
        <v>67387.22017064974</v>
      </c>
    </row>
    <row r="80" spans="1:6" s="6" customFormat="1" ht="17.25" customHeight="1">
      <c r="A80" s="85">
        <v>2</v>
      </c>
      <c r="B80" s="86">
        <v>0.25</v>
      </c>
      <c r="C80" s="87"/>
      <c r="D80" s="87">
        <f>E80/C12*10000</f>
        <v>5870.054645123385</v>
      </c>
      <c r="E80" s="96">
        <f>F21/(B80+1)-E75</f>
        <v>74931.247545</v>
      </c>
      <c r="F80" s="94">
        <f>E80/1.03</f>
        <v>72748.78402427185</v>
      </c>
    </row>
    <row r="81" spans="1:6" s="6" customFormat="1" ht="17.25" customHeight="1">
      <c r="A81" s="82">
        <v>3</v>
      </c>
      <c r="B81" s="83">
        <v>0.2</v>
      </c>
      <c r="C81" s="84"/>
      <c r="D81" s="84">
        <f>E81/C12*10000</f>
        <v>6338.727709492104</v>
      </c>
      <c r="E81" s="97">
        <f>F21/(B81+1)-E75</f>
        <v>80913.8592116667</v>
      </c>
      <c r="F81" s="94">
        <f>E81/1.03</f>
        <v>78557.14486569582</v>
      </c>
    </row>
    <row r="82" spans="1:6" s="6" customFormat="1" ht="17.25" customHeight="1">
      <c r="A82" s="88">
        <v>4</v>
      </c>
      <c r="B82" s="89">
        <v>0.15</v>
      </c>
      <c r="C82" s="4"/>
      <c r="D82" s="4">
        <f>E82/C12*10000</f>
        <v>6848.154953371143</v>
      </c>
      <c r="E82" s="98">
        <f>F21/(B82+1)-E75</f>
        <v>87416.69797978264</v>
      </c>
      <c r="F82" s="94">
        <f>E82/1.03</f>
        <v>84870.58056289576</v>
      </c>
    </row>
    <row r="83" spans="1:6" s="6" customFormat="1" ht="17.25" customHeight="1">
      <c r="A83" s="68">
        <v>5</v>
      </c>
      <c r="B83" s="29">
        <v>0.1</v>
      </c>
      <c r="C83" s="24"/>
      <c r="D83" s="24">
        <f>E83/C12*10000</f>
        <v>7403.893764875547</v>
      </c>
      <c r="E83" s="99">
        <f>F21/(B83+1)-E75</f>
        <v>94510.70390863637</v>
      </c>
      <c r="F83" s="93">
        <f>E83/1.03</f>
        <v>91757.96495984113</v>
      </c>
    </row>
  </sheetData>
  <mergeCells count="40">
    <mergeCell ref="F50:F51"/>
    <mergeCell ref="A22:F22"/>
    <mergeCell ref="C20:D20"/>
    <mergeCell ref="A1:F1"/>
    <mergeCell ref="A2:B2"/>
    <mergeCell ref="C2:D2"/>
    <mergeCell ref="A7:B7"/>
    <mergeCell ref="C7:D7"/>
    <mergeCell ref="C3:D3"/>
    <mergeCell ref="C4:D4"/>
    <mergeCell ref="C6:D6"/>
    <mergeCell ref="A8:B8"/>
    <mergeCell ref="F23:F24"/>
    <mergeCell ref="C14:D14"/>
    <mergeCell ref="C15:D15"/>
    <mergeCell ref="A16:F16"/>
    <mergeCell ref="C17:D17"/>
    <mergeCell ref="C18:D18"/>
    <mergeCell ref="C19:D19"/>
    <mergeCell ref="A23:A24"/>
    <mergeCell ref="B23:B24"/>
    <mergeCell ref="C13:D13"/>
    <mergeCell ref="E5:E6"/>
    <mergeCell ref="C21:D21"/>
    <mergeCell ref="C9:D9"/>
    <mergeCell ref="C10:D10"/>
    <mergeCell ref="C11:D11"/>
    <mergeCell ref="C12:D12"/>
    <mergeCell ref="C5:D5"/>
    <mergeCell ref="C8:D8"/>
    <mergeCell ref="G2:G14"/>
    <mergeCell ref="A76:F76"/>
    <mergeCell ref="A77:A78"/>
    <mergeCell ref="B77:B78"/>
    <mergeCell ref="C77:D77"/>
    <mergeCell ref="F77:F78"/>
    <mergeCell ref="C23:D23"/>
    <mergeCell ref="E23:E24"/>
    <mergeCell ref="F5:F6"/>
    <mergeCell ref="A13:B13"/>
  </mergeCells>
  <printOptions gridLines="1"/>
  <pageMargins left="0.75" right="0.75" top="1" bottom="1" header="0.5" footer="0.5"/>
  <pageSetup fitToHeight="5" fitToWidth="1" horizontalDpi="1200" verticalDpi="1200" orientation="portrait" paperSize="9" scale="74" r:id="rId3"/>
  <headerFooter alignWithMargins="0">
    <oddHeader>&amp;L&amp;"宋体,加粗"&amp;10附表&amp;"Times New Roman,加粗"1&amp;C香蜜湖&amp;"Times New Roman,常规"B303-0041&amp;"宋体,常规"地块价值测算</oddHead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haihong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seamacro</dc:creator>
  <cp:keywords/>
  <dc:description/>
  <cp:lastModifiedBy>yxy</cp:lastModifiedBy>
  <cp:lastPrinted>2004-04-11T03:34:37Z</cp:lastPrinted>
  <dcterms:created xsi:type="dcterms:W3CDTF">2002-05-17T02:26:50Z</dcterms:created>
  <dcterms:modified xsi:type="dcterms:W3CDTF">2004-04-11T12:38:58Z</dcterms:modified>
  <cp:category/>
  <cp:version/>
  <cp:contentType/>
  <cp:contentStatus/>
</cp:coreProperties>
</file>