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385" windowHeight="6615" activeTab="4"/>
  </bookViews>
  <sheets>
    <sheet name="5-1" sheetId="1" r:id="rId1"/>
    <sheet name="5-2" sheetId="2" r:id="rId2"/>
    <sheet name="5-3" sheetId="3" r:id="rId3"/>
    <sheet name="5-4" sheetId="4" r:id="rId4"/>
    <sheet name="5-5" sheetId="5" r:id="rId5"/>
  </sheets>
  <definedNames/>
  <calcPr fullCalcOnLoad="1"/>
</workbook>
</file>

<file path=xl/sharedStrings.xml><?xml version="1.0" encoding="utf-8"?>
<sst xmlns="http://schemas.openxmlformats.org/spreadsheetml/2006/main" count="522" uniqueCount="300">
  <si>
    <t>桩号</t>
  </si>
  <si>
    <r>
      <t>过流能力计算</t>
    </r>
    <r>
      <rPr>
        <sz val="10"/>
        <rFont val="Times New Roman"/>
        <family val="1"/>
      </rPr>
      <t>Q=AC(Ri</t>
    </r>
    <r>
      <rPr>
        <vertAlign val="superscript"/>
        <sz val="10"/>
        <rFont val="Times New Roman"/>
        <family val="1"/>
      </rPr>
      <t>)1/2</t>
    </r>
  </si>
  <si>
    <t>备注</t>
  </si>
  <si>
    <r>
      <t>底宽</t>
    </r>
    <r>
      <rPr>
        <sz val="10"/>
        <rFont val="Times New Roman"/>
        <family val="1"/>
      </rPr>
      <t>b (m)</t>
    </r>
  </si>
  <si>
    <r>
      <t>边坡系数</t>
    </r>
    <r>
      <rPr>
        <sz val="10"/>
        <rFont val="Times New Roman"/>
        <family val="1"/>
      </rPr>
      <t>m</t>
    </r>
  </si>
  <si>
    <r>
      <t>纵坡</t>
    </r>
    <r>
      <rPr>
        <sz val="10"/>
        <rFont val="Times New Roman"/>
        <family val="1"/>
      </rPr>
      <t>i</t>
    </r>
  </si>
  <si>
    <r>
      <t>糙率</t>
    </r>
    <r>
      <rPr>
        <sz val="10"/>
        <rFont val="Times New Roman"/>
        <family val="1"/>
      </rPr>
      <t>n</t>
    </r>
  </si>
  <si>
    <r>
      <t>过水断面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</si>
  <si>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>湿周</t>
    </r>
    <r>
      <rPr>
        <sz val="10"/>
        <rFont val="Times New Roman"/>
        <family val="1"/>
      </rPr>
      <t xml:space="preserve"> X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</si>
  <si>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r>
      <t>水力半径</t>
    </r>
    <r>
      <rPr>
        <sz val="10"/>
        <rFont val="Times New Roman"/>
        <family val="1"/>
      </rPr>
      <t>R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</si>
  <si>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r>
      <t>谢才系数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/s)</t>
    </r>
  </si>
  <si>
    <t>流速　(m3/s)</t>
  </si>
  <si>
    <r>
      <t>过流能力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Q(m3/s)</t>
    </r>
  </si>
  <si>
    <r>
      <t>灌溉水利用系数η</t>
    </r>
    <r>
      <rPr>
        <vertAlign val="subscript"/>
        <sz val="10"/>
        <rFont val="宋体"/>
        <family val="0"/>
      </rPr>
      <t>系</t>
    </r>
  </si>
  <si>
    <r>
      <t>灌水率q</t>
    </r>
    <r>
      <rPr>
        <vertAlign val="subscript"/>
        <sz val="10"/>
        <rFont val="宋体"/>
        <family val="0"/>
      </rPr>
      <t>设</t>
    </r>
  </si>
  <si>
    <r>
      <t>设计流量Q</t>
    </r>
    <r>
      <rPr>
        <vertAlign val="subscript"/>
        <sz val="10"/>
        <rFont val="宋体"/>
        <family val="0"/>
      </rPr>
      <t>设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/s)</t>
    </r>
  </si>
  <si>
    <t>满足要求</t>
  </si>
  <si>
    <t>大观桥水库干渠渠道断面复核表</t>
  </si>
  <si>
    <t>1/7000</t>
  </si>
  <si>
    <r>
      <t>设计水深</t>
    </r>
    <r>
      <rPr>
        <sz val="10"/>
        <rFont val="Times New Roman"/>
        <family val="1"/>
      </rPr>
      <t xml:space="preserve"> h (m)</t>
    </r>
  </si>
  <si>
    <r>
      <t>灌溉面积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（万亩）</t>
    </r>
  </si>
  <si>
    <t>6+200~ 9+770</t>
  </si>
  <si>
    <r>
      <t>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干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渠</t>
    </r>
  </si>
  <si>
    <r>
      <t>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干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渠</t>
    </r>
  </si>
  <si>
    <t>12+310~ 17+020</t>
  </si>
  <si>
    <t>17+020~18+770</t>
  </si>
  <si>
    <r>
      <t>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干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渠</t>
    </r>
  </si>
  <si>
    <t>9+770~ 10+087</t>
  </si>
  <si>
    <t>1/5000</t>
  </si>
  <si>
    <t>10+087~ 11+754</t>
  </si>
  <si>
    <t>11+754~ 12+515</t>
  </si>
  <si>
    <t>12+515~ 15+970</t>
  </si>
  <si>
    <t>15+970~ 16+470</t>
  </si>
  <si>
    <t>16+470~ 18+770</t>
  </si>
  <si>
    <t>渠道</t>
  </si>
  <si>
    <t>1/5000</t>
  </si>
  <si>
    <t>1/5000</t>
  </si>
  <si>
    <t>9+770~ 12+310</t>
  </si>
  <si>
    <t>0+000~ 0+400</t>
  </si>
  <si>
    <r>
      <t>复核灌溉流量</t>
    </r>
    <r>
      <rPr>
        <sz val="10"/>
        <rFont val="Times New Roman"/>
        <family val="1"/>
      </rPr>
      <t>Q</t>
    </r>
    <r>
      <rPr>
        <vertAlign val="subscript"/>
        <sz val="10"/>
        <rFont val="宋体"/>
        <family val="0"/>
      </rPr>
      <t>设</t>
    </r>
    <r>
      <rPr>
        <sz val="10"/>
        <rFont val="Times New Roman"/>
        <family val="1"/>
      </rPr>
      <t>=Aq</t>
    </r>
    <r>
      <rPr>
        <vertAlign val="subscript"/>
        <sz val="10"/>
        <rFont val="宋体"/>
        <family val="0"/>
      </rPr>
      <t>设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η</t>
    </r>
    <r>
      <rPr>
        <vertAlign val="subscript"/>
        <sz val="10"/>
        <rFont val="宋体"/>
        <family val="0"/>
      </rPr>
      <t>系</t>
    </r>
  </si>
  <si>
    <t>表5-4</t>
  </si>
  <si>
    <t>输水管</t>
  </si>
  <si>
    <t>0+000</t>
  </si>
  <si>
    <t>有</t>
  </si>
  <si>
    <t>肖岭         节制闸</t>
  </si>
  <si>
    <t>5+600</t>
  </si>
  <si>
    <t>人字河东闸</t>
  </si>
  <si>
    <t>9+772</t>
  </si>
  <si>
    <t>新民     节制闸</t>
  </si>
  <si>
    <t>15+970</t>
  </si>
  <si>
    <t>姚毛湾节制闸</t>
  </si>
  <si>
    <t>17+520</t>
  </si>
  <si>
    <t>严赵     节制闸</t>
  </si>
  <si>
    <t>12+670</t>
  </si>
  <si>
    <t>蔡郑     节制闸</t>
  </si>
  <si>
    <t>瓦庙     分水闸</t>
  </si>
  <si>
    <t>0+400</t>
  </si>
  <si>
    <t xml:space="preserve">   </t>
  </si>
  <si>
    <t>台岭     分水闸</t>
  </si>
  <si>
    <t>5+500</t>
  </si>
  <si>
    <t>何畈     分水闸</t>
  </si>
  <si>
    <t>6+200</t>
  </si>
  <si>
    <t>周雷     分水闸</t>
  </si>
  <si>
    <t>12+310</t>
  </si>
  <si>
    <t>张代              分水闸</t>
  </si>
  <si>
    <t>17+020</t>
  </si>
  <si>
    <t>刘巷          分水闸</t>
  </si>
  <si>
    <t>18+770</t>
  </si>
  <si>
    <t>谷石                  分水闸</t>
  </si>
  <si>
    <t>10+087</t>
  </si>
  <si>
    <t>冯店     分水闸</t>
  </si>
  <si>
    <t>11+754</t>
  </si>
  <si>
    <t>何倒     分水闸</t>
  </si>
  <si>
    <t>12+515</t>
  </si>
  <si>
    <t>蔡郑               分水闸</t>
  </si>
  <si>
    <t>龙尾     分水闸</t>
  </si>
  <si>
    <t>16+470</t>
  </si>
  <si>
    <t>雷陈                分水闸</t>
  </si>
  <si>
    <t>治山     泄洪闸</t>
  </si>
  <si>
    <t>1+800</t>
  </si>
  <si>
    <t>姚毛湾泄洪闸</t>
  </si>
  <si>
    <t>9+970</t>
  </si>
  <si>
    <t>13+250</t>
  </si>
  <si>
    <t>魏场     跌水</t>
  </si>
  <si>
    <t>14+250</t>
  </si>
  <si>
    <t>雷场     跌水</t>
  </si>
  <si>
    <t>17+970</t>
  </si>
  <si>
    <t xml:space="preserve">  </t>
  </si>
  <si>
    <t>建筑物消能复核计算表</t>
  </si>
  <si>
    <t>序号</t>
  </si>
  <si>
    <t>建筑物　　　　　　　　　名称</t>
  </si>
  <si>
    <t>桩号</t>
  </si>
  <si>
    <r>
      <t>计算</t>
    </r>
    <r>
      <rPr>
        <sz val="10"/>
        <rFont val="宋体"/>
        <family val="0"/>
      </rPr>
      <t>工况</t>
    </r>
  </si>
  <si>
    <t>孔数(n)</t>
  </si>
  <si>
    <t>闸孔净宽B (m)</t>
  </si>
  <si>
    <t>闸孔净高H(m)</t>
  </si>
  <si>
    <r>
      <t>上游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水位（m）</t>
    </r>
  </si>
  <si>
    <r>
      <t>下游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水位（m）</t>
    </r>
  </si>
  <si>
    <t>进口底板高程（m）</t>
  </si>
  <si>
    <t>下游渠底高程（m）</t>
  </si>
  <si>
    <t>闸后水深h(m)</t>
  </si>
  <si>
    <r>
      <t>闸下游闸室长</t>
    </r>
    <r>
      <rPr>
        <sz val="10"/>
        <rFont val="Times New Roman"/>
        <family val="1"/>
      </rPr>
      <t>(m)</t>
    </r>
  </si>
  <si>
    <r>
      <t>消力池进口宽Ｂ</t>
    </r>
    <r>
      <rPr>
        <sz val="10"/>
        <rFont val="Times New Roman"/>
        <family val="1"/>
      </rPr>
      <t>(m)</t>
    </r>
  </si>
  <si>
    <r>
      <t>消力池出口宽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(m)</t>
    </r>
  </si>
  <si>
    <r>
      <t>下泄流量Q</t>
    </r>
    <r>
      <rPr>
        <vertAlign val="subscript"/>
        <sz val="10"/>
        <rFont val="宋体"/>
        <family val="0"/>
      </rPr>
      <t>设</t>
    </r>
    <r>
      <rPr>
        <sz val="10"/>
        <rFont val="宋体"/>
        <family val="0"/>
      </rPr>
      <t>(m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/s)</t>
    </r>
  </si>
  <si>
    <r>
      <t>单宽流量q</t>
    </r>
    <r>
      <rPr>
        <vertAlign val="subscript"/>
        <sz val="10"/>
        <rFont val="宋体"/>
        <family val="0"/>
      </rPr>
      <t xml:space="preserve">c </t>
    </r>
    <r>
      <rPr>
        <sz val="10"/>
        <rFont val="宋体"/>
        <family val="0"/>
      </rPr>
      <t>(m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/s)</t>
    </r>
  </si>
  <si>
    <t>上游水深(m)</t>
  </si>
  <si>
    <r>
      <t>下游水深</t>
    </r>
    <r>
      <rPr>
        <sz val="10"/>
        <rFont val="Times New Roman"/>
        <family val="1"/>
      </rPr>
      <t>hs</t>
    </r>
    <r>
      <rPr>
        <sz val="10"/>
        <rFont val="宋体"/>
        <family val="0"/>
      </rPr>
      <t>(m)</t>
    </r>
  </si>
  <si>
    <r>
      <t>总势能　　</t>
    </r>
    <r>
      <rPr>
        <sz val="10"/>
        <rFont val="Times New Roman"/>
        <family val="1"/>
      </rPr>
      <t>H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(m)</t>
    </r>
  </si>
  <si>
    <t>流速系数φ</t>
  </si>
  <si>
    <r>
      <t>V</t>
    </r>
    <r>
      <rPr>
        <vertAlign val="subscript"/>
        <sz val="10"/>
        <rFont val="宋体"/>
        <family val="0"/>
      </rPr>
      <t>10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/(2g)</t>
    </r>
  </si>
  <si>
    <r>
      <t>1/(φ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h</t>
    </r>
    <r>
      <rPr>
        <vertAlign val="subscript"/>
        <sz val="10"/>
        <rFont val="宋体"/>
        <family val="0"/>
      </rPr>
      <t>s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</si>
  <si>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r>
      <t>1/(φ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hc</t>
    </r>
    <r>
      <rPr>
        <vertAlign val="superscript"/>
        <sz val="10"/>
        <rFont val="宋体"/>
        <family val="0"/>
      </rPr>
      <t>//2</t>
    </r>
    <r>
      <rPr>
        <sz val="10"/>
        <rFont val="宋体"/>
        <family val="0"/>
      </rPr>
      <t>)</t>
    </r>
  </si>
  <si>
    <r>
      <t>△Z</t>
    </r>
    <r>
      <rPr>
        <vertAlign val="subscript"/>
        <sz val="10"/>
        <rFont val="宋体"/>
        <family val="0"/>
      </rPr>
      <t>1</t>
    </r>
    <r>
      <rPr>
        <sz val="10"/>
        <rFont val="宋体"/>
        <family val="0"/>
      </rPr>
      <t>=Q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/(2gB</t>
    </r>
    <r>
      <rPr>
        <vertAlign val="subscript"/>
        <sz val="10"/>
        <rFont val="宋体"/>
        <family val="0"/>
      </rPr>
      <t>1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)(1/(φ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h</t>
    </r>
    <r>
      <rPr>
        <vertAlign val="subscript"/>
        <sz val="10"/>
        <rFont val="宋体"/>
        <family val="0"/>
      </rPr>
      <t>s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)-1/(φ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hc</t>
    </r>
    <r>
      <rPr>
        <vertAlign val="superscript"/>
        <sz val="10"/>
        <rFont val="宋体"/>
        <family val="0"/>
      </rPr>
      <t>//2</t>
    </r>
    <r>
      <rPr>
        <sz val="10"/>
        <rFont val="宋体"/>
        <family val="0"/>
      </rPr>
      <t>))</t>
    </r>
  </si>
  <si>
    <t>计算收缩断面水深hc（m）</t>
  </si>
  <si>
    <r>
      <t>佛汝德数         Ｆr</t>
    </r>
    <r>
      <rPr>
        <vertAlign val="subscript"/>
        <sz val="10"/>
        <rFont val="宋体"/>
        <family val="0"/>
      </rPr>
      <t>c</t>
    </r>
    <r>
      <rPr>
        <vertAlign val="superscript"/>
        <sz val="10"/>
        <rFont val="宋体"/>
        <family val="0"/>
      </rPr>
      <t>2</t>
    </r>
  </si>
  <si>
    <t>判断有无水跃</t>
  </si>
  <si>
    <r>
      <t>计算共轭水深</t>
    </r>
    <r>
      <rPr>
        <sz val="10"/>
        <rFont val="Times New Roman"/>
        <family val="1"/>
      </rPr>
      <t>hc</t>
    </r>
    <r>
      <rPr>
        <vertAlign val="superscript"/>
        <sz val="10"/>
        <rFont val="Times New Roman"/>
        <family val="1"/>
      </rPr>
      <t>//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</si>
  <si>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r>
      <t>试算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池深</t>
    </r>
    <r>
      <rPr>
        <sz val="10"/>
        <rFont val="Times New Roman"/>
        <family val="1"/>
      </rPr>
      <t xml:space="preserve">    d(m)</t>
    </r>
  </si>
  <si>
    <t>试算水跃淹没系数σ</t>
  </si>
  <si>
    <t>水跃长度</t>
  </si>
  <si>
    <r>
      <t>消力池长度（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</si>
  <si>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r>
      <t>海漫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长度（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</si>
  <si>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t>最不利工况</t>
  </si>
  <si>
    <t>无</t>
  </si>
  <si>
    <t>南巷节制闸跌水</t>
  </si>
  <si>
    <t>最不利工况</t>
  </si>
  <si>
    <t>序号</t>
  </si>
  <si>
    <t>位置</t>
  </si>
  <si>
    <t>建筑物　　名称</t>
  </si>
  <si>
    <t>备注</t>
  </si>
  <si>
    <t>圆涵D (m)</t>
  </si>
  <si>
    <t>净宽B (m)</t>
  </si>
  <si>
    <t>净高H(m)</t>
  </si>
  <si>
    <t>上游   水位（m）</t>
  </si>
  <si>
    <t>下游   水位（m）</t>
  </si>
  <si>
    <t>进口底板高程（m）</t>
  </si>
  <si>
    <t>下游渠底高程（m）</t>
  </si>
  <si>
    <t>闸后水深h(m)</t>
  </si>
  <si>
    <t>上游水深(m)</t>
  </si>
  <si>
    <t>下游水深(m)</t>
  </si>
  <si>
    <t>流速系数ψ</t>
  </si>
  <si>
    <t>控制          面积     （万亩）</t>
  </si>
  <si>
    <t xml:space="preserve">水闸、跌水、渡槽等流量复核表 </t>
  </si>
  <si>
    <r>
      <t>Q=μ</t>
    </r>
    <r>
      <rPr>
        <vertAlign val="subscript"/>
        <sz val="10"/>
        <rFont val="宋体"/>
        <family val="0"/>
      </rPr>
      <t>c</t>
    </r>
    <r>
      <rPr>
        <sz val="10"/>
        <rFont val="宋体"/>
        <family val="0"/>
      </rPr>
      <t>A(2g△z</t>
    </r>
    <r>
      <rPr>
        <vertAlign val="subscript"/>
        <sz val="10"/>
        <rFont val="宋体"/>
        <family val="0"/>
      </rPr>
      <t>0</t>
    </r>
    <r>
      <rPr>
        <sz val="10"/>
        <rFont val="宋体"/>
        <family val="0"/>
      </rPr>
      <t>)</t>
    </r>
    <r>
      <rPr>
        <vertAlign val="superscript"/>
        <sz val="10"/>
        <rFont val="宋体"/>
        <family val="0"/>
      </rPr>
      <t>1/2</t>
    </r>
    <r>
      <rPr>
        <sz val="10"/>
        <rFont val="宋体"/>
        <family val="0"/>
      </rPr>
      <t>或Q=ψBh(2g△z</t>
    </r>
    <r>
      <rPr>
        <vertAlign val="subscript"/>
        <sz val="10"/>
        <rFont val="宋体"/>
        <family val="0"/>
      </rPr>
      <t>0</t>
    </r>
    <r>
      <rPr>
        <sz val="10"/>
        <rFont val="宋体"/>
        <family val="0"/>
      </rPr>
      <t>)</t>
    </r>
    <r>
      <rPr>
        <vertAlign val="superscript"/>
        <sz val="10"/>
        <rFont val="宋体"/>
        <family val="0"/>
      </rPr>
      <t>1/2</t>
    </r>
    <r>
      <rPr>
        <sz val="10"/>
        <rFont val="宋体"/>
        <family val="0"/>
      </rPr>
      <t>或Q=mB(2g)</t>
    </r>
    <r>
      <rPr>
        <vertAlign val="superscript"/>
        <sz val="10"/>
        <rFont val="宋体"/>
        <family val="0"/>
      </rPr>
      <t>1/2</t>
    </r>
    <r>
      <rPr>
        <sz val="10"/>
        <rFont val="宋体"/>
        <family val="0"/>
      </rPr>
      <t>H</t>
    </r>
    <r>
      <rPr>
        <vertAlign val="subscript"/>
        <sz val="10"/>
        <rFont val="宋体"/>
        <family val="0"/>
      </rPr>
      <t>0</t>
    </r>
    <r>
      <rPr>
        <vertAlign val="superscript"/>
        <sz val="10"/>
        <rFont val="宋体"/>
        <family val="0"/>
      </rPr>
      <t>3/2</t>
    </r>
    <r>
      <rPr>
        <sz val="10"/>
        <rFont val="宋体"/>
        <family val="0"/>
      </rPr>
      <t>或Q=AC(Ri)</t>
    </r>
    <r>
      <rPr>
        <vertAlign val="superscript"/>
        <sz val="10"/>
        <rFont val="宋体"/>
        <family val="0"/>
      </rPr>
      <t>1/2</t>
    </r>
  </si>
  <si>
    <r>
      <t>复核灌溉流量Q</t>
    </r>
    <r>
      <rPr>
        <vertAlign val="subscript"/>
        <sz val="10"/>
        <rFont val="宋体"/>
        <family val="0"/>
      </rPr>
      <t>设</t>
    </r>
    <r>
      <rPr>
        <sz val="10"/>
        <rFont val="宋体"/>
        <family val="0"/>
      </rPr>
      <t>=Aq</t>
    </r>
    <r>
      <rPr>
        <vertAlign val="subscript"/>
        <sz val="10"/>
        <rFont val="宋体"/>
        <family val="0"/>
      </rPr>
      <t>设</t>
    </r>
    <r>
      <rPr>
        <sz val="10"/>
        <rFont val="宋体"/>
        <family val="0"/>
      </rPr>
      <t>/η</t>
    </r>
    <r>
      <rPr>
        <vertAlign val="subscript"/>
        <sz val="10"/>
        <rFont val="宋体"/>
        <family val="0"/>
      </rPr>
      <t>系</t>
    </r>
  </si>
  <si>
    <r>
      <t>流量系数(m)u</t>
    </r>
    <r>
      <rPr>
        <vertAlign val="subscript"/>
        <sz val="10"/>
        <rFont val="宋体"/>
        <family val="0"/>
      </rPr>
      <t>c</t>
    </r>
  </si>
  <si>
    <r>
      <t>△Z</t>
    </r>
    <r>
      <rPr>
        <vertAlign val="subscript"/>
        <sz val="10"/>
        <rFont val="宋体"/>
        <family val="0"/>
      </rPr>
      <t>0</t>
    </r>
    <r>
      <rPr>
        <sz val="10"/>
        <rFont val="宋体"/>
        <family val="0"/>
      </rPr>
      <t xml:space="preserve"> (m)</t>
    </r>
  </si>
  <si>
    <r>
      <t>过流   能力Q(m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/s)</t>
    </r>
  </si>
  <si>
    <r>
      <t>灌溉水利用系数η</t>
    </r>
    <r>
      <rPr>
        <vertAlign val="subscript"/>
        <sz val="10"/>
        <rFont val="宋体"/>
        <family val="0"/>
      </rPr>
      <t>系</t>
    </r>
  </si>
  <si>
    <r>
      <t>灌水率q</t>
    </r>
    <r>
      <rPr>
        <vertAlign val="subscript"/>
        <sz val="10"/>
        <rFont val="宋体"/>
        <family val="0"/>
      </rPr>
      <t>设</t>
    </r>
  </si>
  <si>
    <r>
      <t>设计流量Q</t>
    </r>
    <r>
      <rPr>
        <vertAlign val="subscript"/>
        <sz val="10"/>
        <rFont val="宋体"/>
        <family val="0"/>
      </rPr>
      <t>设</t>
    </r>
    <r>
      <rPr>
        <sz val="10"/>
        <rFont val="宋体"/>
        <family val="0"/>
      </rPr>
      <t>(m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/s)</t>
    </r>
  </si>
  <si>
    <t>一</t>
  </si>
  <si>
    <t>渠首</t>
  </si>
  <si>
    <t>输水管</t>
  </si>
  <si>
    <t>0+000</t>
  </si>
  <si>
    <t>满足　　　　　　　要求</t>
  </si>
  <si>
    <t>二</t>
  </si>
  <si>
    <t>节制闸</t>
  </si>
  <si>
    <t>主干渠</t>
  </si>
  <si>
    <t>肖岭         节制闸</t>
  </si>
  <si>
    <t>5+600</t>
  </si>
  <si>
    <t>人字河东闸</t>
  </si>
  <si>
    <t>9+772</t>
  </si>
  <si>
    <t>东干渠</t>
  </si>
  <si>
    <t>人字河西闸</t>
  </si>
  <si>
    <t>9+970</t>
  </si>
  <si>
    <t>新民     节制闸</t>
  </si>
  <si>
    <t>15+970</t>
  </si>
  <si>
    <t>姚毛湾节制闸</t>
  </si>
  <si>
    <t>西干渠</t>
  </si>
  <si>
    <t>严赵     节制闸</t>
  </si>
  <si>
    <t>12+670</t>
  </si>
  <si>
    <t>蔡郑     节制闸</t>
  </si>
  <si>
    <t>15+970</t>
  </si>
  <si>
    <t>满足　　　　　　　要求</t>
  </si>
  <si>
    <t>三</t>
  </si>
  <si>
    <t>分水闸</t>
  </si>
  <si>
    <t>瓦庙     分水闸</t>
  </si>
  <si>
    <t>台岭     分水闸</t>
  </si>
  <si>
    <t>何畈     分水闸</t>
  </si>
  <si>
    <t>周雷     分水闸</t>
  </si>
  <si>
    <t>冯店     分水闸</t>
  </si>
  <si>
    <t>何倒     分水闸</t>
  </si>
  <si>
    <t>四</t>
  </si>
  <si>
    <t>泄洪闸</t>
  </si>
  <si>
    <t>主    干渠</t>
  </si>
  <si>
    <t>治山     泄洪闸</t>
  </si>
  <si>
    <t>1+800</t>
  </si>
  <si>
    <t>西    干渠</t>
  </si>
  <si>
    <t>姚毛湾泄洪闸</t>
  </si>
  <si>
    <t>9+970</t>
  </si>
  <si>
    <t>五</t>
  </si>
  <si>
    <t>渡槽</t>
  </si>
  <si>
    <t>主   干渠</t>
  </si>
  <si>
    <t>林场     渡槽</t>
  </si>
  <si>
    <t>0+500</t>
  </si>
  <si>
    <t>槽长27m</t>
  </si>
  <si>
    <t>纵坡1/300</t>
  </si>
  <si>
    <t>满足　　　　　　　要求</t>
  </si>
  <si>
    <t>西    干渠</t>
  </si>
  <si>
    <t>余岗岭渡槽</t>
  </si>
  <si>
    <t>19+970</t>
  </si>
  <si>
    <t>槽长32m</t>
  </si>
  <si>
    <t>纵坡1/3000</t>
  </si>
  <si>
    <t>六</t>
  </si>
  <si>
    <t>跌水</t>
  </si>
  <si>
    <t>东干渠</t>
  </si>
  <si>
    <t>南巷     节制闸跌水</t>
  </si>
  <si>
    <t>13+250</t>
  </si>
  <si>
    <t>魏场     跌水</t>
  </si>
  <si>
    <t>14+250</t>
  </si>
  <si>
    <t>雷场     跌水</t>
  </si>
  <si>
    <t>17+970</t>
  </si>
  <si>
    <t>涵闸稳定复核成果表</t>
  </si>
  <si>
    <t>名称</t>
  </si>
  <si>
    <t>现状防渗长度(m)</t>
  </si>
  <si>
    <t>应力不均匀系数</t>
  </si>
  <si>
    <t>抗滑稳定安全系数Ｋc</t>
  </si>
  <si>
    <t>规范值</t>
  </si>
  <si>
    <t>设计值</t>
  </si>
  <si>
    <t>校核</t>
  </si>
  <si>
    <r>
      <t>表</t>
    </r>
    <r>
      <rPr>
        <sz val="12"/>
        <rFont val="Times New Roman"/>
        <family val="1"/>
      </rPr>
      <t>5-5</t>
    </r>
  </si>
  <si>
    <t>序号</t>
  </si>
  <si>
    <r>
      <t>计算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工况</t>
    </r>
  </si>
  <si>
    <t>最大       应力（KPa）</t>
  </si>
  <si>
    <t>最小      应力（KPa）</t>
  </si>
  <si>
    <t>规范要求的防渗长度(m)</t>
  </si>
  <si>
    <t>完建</t>
  </si>
  <si>
    <t>设计</t>
  </si>
  <si>
    <t>支渠渠道断面复核表</t>
  </si>
  <si>
    <t>位置</t>
  </si>
  <si>
    <t>支渠名称</t>
  </si>
  <si>
    <r>
      <t>渠首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建筑物</t>
    </r>
  </si>
  <si>
    <r>
      <t>过流能力计算</t>
    </r>
    <r>
      <rPr>
        <sz val="10"/>
        <rFont val="Times New Roman"/>
        <family val="1"/>
      </rPr>
      <t>Q=AC(Ri)</t>
    </r>
    <r>
      <rPr>
        <vertAlign val="superscript"/>
        <sz val="10"/>
        <rFont val="Times New Roman"/>
        <family val="1"/>
      </rPr>
      <t>1/2</t>
    </r>
  </si>
  <si>
    <r>
      <t>复核灌溉流量</t>
    </r>
    <r>
      <rPr>
        <sz val="10"/>
        <rFont val="Times New Roman"/>
        <family val="1"/>
      </rPr>
      <t>Q</t>
    </r>
    <r>
      <rPr>
        <vertAlign val="subscript"/>
        <sz val="10"/>
        <rFont val="宋体"/>
        <family val="0"/>
      </rPr>
      <t>设</t>
    </r>
    <r>
      <rPr>
        <sz val="10"/>
        <rFont val="Times New Roman"/>
        <family val="1"/>
      </rPr>
      <t>=Aq</t>
    </r>
    <r>
      <rPr>
        <vertAlign val="subscript"/>
        <sz val="10"/>
        <rFont val="宋体"/>
        <family val="0"/>
      </rPr>
      <t>设</t>
    </r>
    <r>
      <rPr>
        <sz val="10"/>
        <rFont val="Times New Roman"/>
        <family val="1"/>
      </rPr>
      <t>/</t>
    </r>
    <r>
      <rPr>
        <vertAlign val="subscript"/>
        <sz val="10"/>
        <rFont val="宋体"/>
        <family val="0"/>
      </rPr>
      <t>η系</t>
    </r>
  </si>
  <si>
    <t>备注</t>
  </si>
  <si>
    <r>
      <t>底宽</t>
    </r>
    <r>
      <rPr>
        <sz val="10"/>
        <rFont val="Times New Roman"/>
        <family val="1"/>
      </rPr>
      <t>b (m)</t>
    </r>
  </si>
  <si>
    <r>
      <t>设计水深</t>
    </r>
    <r>
      <rPr>
        <sz val="10"/>
        <rFont val="Times New Roman"/>
        <family val="1"/>
      </rPr>
      <t xml:space="preserve"> h (m)</t>
    </r>
  </si>
  <si>
    <r>
      <t>边坡系数</t>
    </r>
    <r>
      <rPr>
        <sz val="10"/>
        <rFont val="Times New Roman"/>
        <family val="1"/>
      </rPr>
      <t>m</t>
    </r>
  </si>
  <si>
    <r>
      <t>过水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断面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</si>
  <si>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>湿周</t>
    </r>
    <r>
      <rPr>
        <sz val="10"/>
        <rFont val="Times New Roman"/>
        <family val="1"/>
      </rPr>
      <t xml:space="preserve"> X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</si>
  <si>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r>
      <t>水力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半径</t>
    </r>
    <r>
      <rPr>
        <sz val="10"/>
        <rFont val="Times New Roman"/>
        <family val="1"/>
      </rPr>
      <t>R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</si>
  <si>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r>
      <t>谢才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系数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/s)</t>
    </r>
  </si>
  <si>
    <r>
      <t>过流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能力Q(m3/s)</t>
    </r>
  </si>
  <si>
    <t>流速(m/s)</t>
  </si>
  <si>
    <r>
      <t>控制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面积</t>
    </r>
    <r>
      <rPr>
        <sz val="10"/>
        <rFont val="Times New Roman"/>
        <family val="1"/>
      </rPr>
      <t xml:space="preserve">     (</t>
    </r>
    <r>
      <rPr>
        <sz val="10"/>
        <rFont val="宋体"/>
        <family val="0"/>
      </rPr>
      <t>万亩</t>
    </r>
    <r>
      <rPr>
        <sz val="10"/>
        <rFont val="Times New Roman"/>
        <family val="1"/>
      </rPr>
      <t>)</t>
    </r>
  </si>
  <si>
    <r>
      <t>渠系水利用系数η</t>
    </r>
    <r>
      <rPr>
        <vertAlign val="subscript"/>
        <sz val="10"/>
        <rFont val="宋体"/>
        <family val="0"/>
      </rPr>
      <t>系</t>
    </r>
  </si>
  <si>
    <r>
      <t>灌水率q</t>
    </r>
    <r>
      <rPr>
        <vertAlign val="subscript"/>
        <sz val="10"/>
        <rFont val="宋体"/>
        <family val="0"/>
      </rPr>
      <t>设</t>
    </r>
  </si>
  <si>
    <r>
      <t>设计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流量Q</t>
    </r>
    <r>
      <rPr>
        <vertAlign val="subscript"/>
        <sz val="10"/>
        <rFont val="宋体"/>
        <family val="0"/>
      </rPr>
      <t>设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/s)</t>
    </r>
  </si>
  <si>
    <t>主干渠</t>
  </si>
  <si>
    <t>瓦庙支渠</t>
  </si>
  <si>
    <t>0+400</t>
  </si>
  <si>
    <r>
      <t>瓦庙</t>
    </r>
    <r>
      <rPr>
        <sz val="10"/>
        <rFont val="Times New Roman"/>
        <family val="1"/>
      </rPr>
      <t xml:space="preserve">               </t>
    </r>
    <r>
      <rPr>
        <sz val="10"/>
        <rFont val="宋体"/>
        <family val="0"/>
      </rPr>
      <t>分水闸</t>
    </r>
  </si>
  <si>
    <t>1/3000</t>
  </si>
  <si>
    <t>满足要求</t>
  </si>
  <si>
    <r>
      <t>台岭</t>
    </r>
    <r>
      <rPr>
        <sz val="10"/>
        <rFont val="宋体"/>
        <family val="0"/>
      </rPr>
      <t>支渠</t>
    </r>
  </si>
  <si>
    <t>5+500</t>
  </si>
  <si>
    <r>
      <t>台岭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分水闸</t>
    </r>
  </si>
  <si>
    <t>1/5000</t>
  </si>
  <si>
    <t>何畈支渠</t>
  </si>
  <si>
    <t>6+200</t>
  </si>
  <si>
    <r>
      <t>何畈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分水闸</t>
    </r>
  </si>
  <si>
    <t>东干渠</t>
  </si>
  <si>
    <r>
      <t>周雷</t>
    </r>
    <r>
      <rPr>
        <sz val="10"/>
        <rFont val="宋体"/>
        <family val="0"/>
      </rPr>
      <t>支渠</t>
    </r>
  </si>
  <si>
    <t>12+310</t>
  </si>
  <si>
    <r>
      <t>周雷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分水闸</t>
    </r>
  </si>
  <si>
    <t>张代支渠</t>
  </si>
  <si>
    <t>17+020</t>
  </si>
  <si>
    <r>
      <t>张代</t>
    </r>
    <r>
      <rPr>
        <sz val="10"/>
        <rFont val="Times New Roman"/>
        <family val="1"/>
      </rPr>
      <t xml:space="preserve">              </t>
    </r>
    <r>
      <rPr>
        <sz val="10"/>
        <rFont val="宋体"/>
        <family val="0"/>
      </rPr>
      <t>分水闸</t>
    </r>
  </si>
  <si>
    <t>刘巷支渠</t>
  </si>
  <si>
    <t>18+770</t>
  </si>
  <si>
    <r>
      <t>刘巷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分水闸</t>
    </r>
  </si>
  <si>
    <t>西干渠</t>
  </si>
  <si>
    <t>谷石支渠</t>
  </si>
  <si>
    <t>10+087</t>
  </si>
  <si>
    <r>
      <t>谷石</t>
    </r>
    <r>
      <rPr>
        <sz val="10"/>
        <rFont val="Times New Roman"/>
        <family val="1"/>
      </rPr>
      <t xml:space="preserve">                  </t>
    </r>
    <r>
      <rPr>
        <sz val="10"/>
        <rFont val="宋体"/>
        <family val="0"/>
      </rPr>
      <t>分水闸</t>
    </r>
  </si>
  <si>
    <t>冯店支渠</t>
  </si>
  <si>
    <t>11+754</t>
  </si>
  <si>
    <r>
      <t>冯店</t>
    </r>
    <r>
      <rPr>
        <sz val="10"/>
        <rFont val="Times New Roman"/>
        <family val="1"/>
      </rPr>
      <t xml:space="preserve">              </t>
    </r>
    <r>
      <rPr>
        <sz val="10"/>
        <rFont val="宋体"/>
        <family val="0"/>
      </rPr>
      <t>分水闸</t>
    </r>
  </si>
  <si>
    <t>何倒支渠</t>
  </si>
  <si>
    <t>12+515</t>
  </si>
  <si>
    <r>
      <t>何倒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分水闸</t>
    </r>
  </si>
  <si>
    <t>蔡郑支渠</t>
  </si>
  <si>
    <t>15+970</t>
  </si>
  <si>
    <r>
      <t>蔡郑</t>
    </r>
    <r>
      <rPr>
        <sz val="10"/>
        <rFont val="Times New Roman"/>
        <family val="1"/>
      </rPr>
      <t xml:space="preserve">               </t>
    </r>
    <r>
      <rPr>
        <sz val="10"/>
        <rFont val="宋体"/>
        <family val="0"/>
      </rPr>
      <t>分水闸</t>
    </r>
  </si>
  <si>
    <t>龙尾支渠</t>
  </si>
  <si>
    <t>16+470</t>
  </si>
  <si>
    <r>
      <t>龙尾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分水闸</t>
    </r>
  </si>
  <si>
    <t>雷陈支渠</t>
  </si>
  <si>
    <t>18+770</t>
  </si>
  <si>
    <r>
      <t>雷陈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分水闸</t>
    </r>
  </si>
  <si>
    <t>1/5000</t>
  </si>
  <si>
    <t>满足要求</t>
  </si>
  <si>
    <r>
      <t>表5-</t>
    </r>
    <r>
      <rPr>
        <sz val="12"/>
        <rFont val="宋体"/>
        <family val="0"/>
      </rPr>
      <t>1</t>
    </r>
  </si>
  <si>
    <r>
      <t>表5-</t>
    </r>
    <r>
      <rPr>
        <sz val="12"/>
        <rFont val="宋体"/>
        <family val="0"/>
      </rPr>
      <t>3</t>
    </r>
  </si>
  <si>
    <t>0+400~ 5+500</t>
  </si>
  <si>
    <t>5+500~ 6+200</t>
  </si>
  <si>
    <t>人字河西闸</t>
  </si>
  <si>
    <r>
      <t>表</t>
    </r>
    <r>
      <rPr>
        <sz val="12"/>
        <rFont val="宋体"/>
        <family val="0"/>
      </rPr>
      <t>5-2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</si>
</sst>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??/100"/>
    <numFmt numFmtId="178" formatCode="0.0000%"/>
    <numFmt numFmtId="179" formatCode="0.0000_ "/>
    <numFmt numFmtId="180" formatCode="0.000_ 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);[Red]\(0\)"/>
    <numFmt numFmtId="185" formatCode="0.00_);[Red]\(0.00\)"/>
    <numFmt numFmtId="186" formatCode="0.000_);[Red]\(0.000\)"/>
    <numFmt numFmtId="187" formatCode="0.00_);\(0.00\)"/>
    <numFmt numFmtId="188" formatCode="0.0_);[Red]\(0.0\)"/>
    <numFmt numFmtId="189" formatCode="0.0_ "/>
    <numFmt numFmtId="190" formatCode="0.0000_);[Red]\(0.0000\)"/>
    <numFmt numFmtId="191" formatCode="0_ "/>
    <numFmt numFmtId="192" formatCode="0.00_ ;[Red]\-0.00\ "/>
  </numFmts>
  <fonts count="2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宋体"/>
      <family val="0"/>
    </font>
    <font>
      <b/>
      <sz val="10"/>
      <name val="Times New Roman"/>
      <family val="1"/>
    </font>
    <font>
      <sz val="14"/>
      <name val="宋体"/>
      <family val="0"/>
    </font>
    <font>
      <b/>
      <sz val="10"/>
      <name val="宋体"/>
      <family val="0"/>
    </font>
    <font>
      <vertAlign val="subscript"/>
      <sz val="10"/>
      <name val="Times New Roman"/>
      <family val="1"/>
    </font>
    <font>
      <vertAlign val="superscript"/>
      <sz val="10"/>
      <name val="宋体"/>
      <family val="0"/>
    </font>
    <font>
      <b/>
      <sz val="12"/>
      <name val="宋体"/>
      <family val="0"/>
    </font>
    <font>
      <b/>
      <sz val="16"/>
      <name val="华文中宋"/>
      <family val="0"/>
    </font>
    <font>
      <sz val="16"/>
      <name val="华文中宋"/>
      <family val="0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Alignment="1">
      <alignment horizontal="centerContinuous" vertical="center"/>
    </xf>
    <xf numFmtId="180" fontId="6" fillId="0" borderId="0" xfId="0" applyNumberFormat="1" applyFont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horizontal="center" vertical="center" wrapText="1"/>
    </xf>
    <xf numFmtId="187" fontId="7" fillId="0" borderId="1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176" fontId="7" fillId="0" borderId="1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180" fontId="8" fillId="0" borderId="4" xfId="0" applyNumberFormat="1" applyFont="1" applyBorder="1" applyAlignment="1">
      <alignment horizontal="center" vertical="center" wrapText="1"/>
    </xf>
    <xf numFmtId="176" fontId="11" fillId="0" borderId="4" xfId="0" applyNumberFormat="1" applyFont="1" applyBorder="1" applyAlignment="1">
      <alignment horizontal="center" vertical="center" wrapText="1"/>
    </xf>
    <xf numFmtId="180" fontId="7" fillId="0" borderId="4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91" fontId="5" fillId="0" borderId="0" xfId="0" applyNumberFormat="1" applyFont="1" applyAlignment="1">
      <alignment horizontal="centerContinuous" vertical="center" wrapText="1" shrinkToFit="1"/>
    </xf>
    <xf numFmtId="176" fontId="12" fillId="0" borderId="0" xfId="0" applyNumberFormat="1" applyFont="1" applyAlignment="1">
      <alignment horizontal="centerContinuous" vertical="center" wrapText="1" shrinkToFit="1"/>
    </xf>
    <xf numFmtId="176" fontId="5" fillId="0" borderId="0" xfId="0" applyNumberFormat="1" applyFont="1" applyAlignment="1">
      <alignment horizontal="centerContinuous" vertical="center" wrapText="1" shrinkToFit="1"/>
    </xf>
    <xf numFmtId="176" fontId="4" fillId="0" borderId="0" xfId="0" applyNumberFormat="1" applyFont="1" applyAlignment="1">
      <alignment horizontal="centerContinuous" vertical="center" wrapText="1" shrinkToFit="1"/>
    </xf>
    <xf numFmtId="191" fontId="13" fillId="0" borderId="0" xfId="0" applyNumberFormat="1" applyFont="1" applyAlignment="1">
      <alignment horizontal="centerContinuous" vertical="center" wrapText="1" shrinkToFit="1"/>
    </xf>
    <xf numFmtId="189" fontId="13" fillId="0" borderId="0" xfId="0" applyNumberFormat="1" applyFont="1" applyAlignment="1">
      <alignment horizontal="centerContinuous" vertical="center" wrapText="1" shrinkToFit="1"/>
    </xf>
    <xf numFmtId="189" fontId="6" fillId="0" borderId="0" xfId="0" applyNumberFormat="1" applyFont="1" applyAlignment="1">
      <alignment horizontal="centerContinuous" vertical="center" wrapText="1" shrinkToFit="1"/>
    </xf>
    <xf numFmtId="176" fontId="6" fillId="0" borderId="0" xfId="0" applyNumberFormat="1" applyFont="1" applyAlignment="1">
      <alignment horizontal="centerContinuous" vertical="center" wrapText="1" shrinkToFit="1"/>
    </xf>
    <xf numFmtId="176" fontId="13" fillId="0" borderId="0" xfId="0" applyNumberFormat="1" applyFont="1" applyAlignment="1">
      <alignment horizontal="centerContinuous" vertical="center" wrapText="1" shrinkToFit="1"/>
    </xf>
    <xf numFmtId="176" fontId="7" fillId="0" borderId="0" xfId="0" applyNumberFormat="1" applyFont="1" applyAlignment="1">
      <alignment horizontal="centerContinuous" vertical="center" wrapText="1" shrinkToFit="1"/>
    </xf>
    <xf numFmtId="185" fontId="6" fillId="0" borderId="0" xfId="0" applyNumberFormat="1" applyFont="1" applyAlignment="1">
      <alignment horizontal="centerContinuous" vertical="center" wrapText="1" shrinkToFit="1"/>
    </xf>
    <xf numFmtId="176" fontId="4" fillId="0" borderId="0" xfId="0" applyNumberFormat="1" applyFont="1" applyAlignment="1">
      <alignment vertical="center" wrapText="1" shrinkToFit="1"/>
    </xf>
    <xf numFmtId="176" fontId="0" fillId="0" borderId="0" xfId="0" applyNumberFormat="1" applyFont="1" applyAlignment="1">
      <alignment horizontal="centerContinuous" vertical="center" wrapText="1" shrinkToFit="1"/>
    </xf>
    <xf numFmtId="191" fontId="7" fillId="0" borderId="6" xfId="0" applyNumberFormat="1" applyFont="1" applyBorder="1" applyAlignment="1">
      <alignment horizontal="center" vertical="center" wrapText="1" shrinkToFit="1"/>
    </xf>
    <xf numFmtId="176" fontId="7" fillId="0" borderId="3" xfId="0" applyNumberFormat="1" applyFont="1" applyBorder="1" applyAlignment="1">
      <alignment horizontal="center" vertical="center" wrapText="1" shrinkToFit="1"/>
    </xf>
    <xf numFmtId="191" fontId="7" fillId="0" borderId="3" xfId="0" applyNumberFormat="1" applyFont="1" applyBorder="1" applyAlignment="1">
      <alignment horizontal="center" vertical="center" wrapText="1" shrinkToFit="1"/>
    </xf>
    <xf numFmtId="189" fontId="7" fillId="0" borderId="3" xfId="0" applyNumberFormat="1" applyFont="1" applyBorder="1" applyAlignment="1">
      <alignment horizontal="center" vertical="center" wrapText="1" shrinkToFit="1"/>
    </xf>
    <xf numFmtId="185" fontId="7" fillId="0" borderId="3" xfId="0" applyNumberFormat="1" applyFont="1" applyBorder="1" applyAlignment="1">
      <alignment horizontal="center" vertical="center" wrapText="1" shrinkToFit="1"/>
    </xf>
    <xf numFmtId="176" fontId="7" fillId="0" borderId="7" xfId="0" applyNumberFormat="1" applyFont="1" applyBorder="1" applyAlignment="1">
      <alignment horizontal="center" vertical="center" wrapText="1" shrinkToFit="1"/>
    </xf>
    <xf numFmtId="176" fontId="7" fillId="0" borderId="0" xfId="0" applyNumberFormat="1" applyFont="1" applyAlignment="1">
      <alignment horizontal="center" vertical="center" wrapText="1" shrinkToFit="1"/>
    </xf>
    <xf numFmtId="191" fontId="7" fillId="0" borderId="8" xfId="0" applyNumberFormat="1" applyFont="1" applyBorder="1" applyAlignment="1">
      <alignment horizontal="center" vertical="center" wrapText="1" shrinkToFit="1"/>
    </xf>
    <xf numFmtId="191" fontId="7" fillId="0" borderId="1" xfId="0" applyNumberFormat="1" applyFont="1" applyBorder="1" applyAlignment="1">
      <alignment horizontal="center" vertical="center" wrapText="1" shrinkToFit="1"/>
    </xf>
    <xf numFmtId="176" fontId="7" fillId="0" borderId="1" xfId="0" applyNumberFormat="1" applyFont="1" applyBorder="1" applyAlignment="1">
      <alignment horizontal="center" vertical="center" wrapText="1" shrinkToFit="1"/>
    </xf>
    <xf numFmtId="191" fontId="7" fillId="0" borderId="1" xfId="0" applyNumberFormat="1" applyFont="1" applyBorder="1" applyAlignment="1" quotePrefix="1">
      <alignment horizontal="center" vertical="center" wrapText="1" shrinkToFit="1"/>
    </xf>
    <xf numFmtId="188" fontId="7" fillId="0" borderId="1" xfId="0" applyNumberFormat="1" applyFont="1" applyBorder="1" applyAlignment="1">
      <alignment horizontal="center" vertical="center" wrapText="1" shrinkToFi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185" fontId="7" fillId="0" borderId="1" xfId="0" applyNumberFormat="1" applyFont="1" applyBorder="1" applyAlignment="1">
      <alignment horizontal="center" vertical="center" wrapText="1" shrinkToFit="1"/>
    </xf>
    <xf numFmtId="189" fontId="7" fillId="0" borderId="1" xfId="0" applyNumberFormat="1" applyFont="1" applyFill="1" applyBorder="1" applyAlignment="1">
      <alignment horizontal="center" vertical="center" wrapText="1" shrinkToFit="1"/>
    </xf>
    <xf numFmtId="189" fontId="7" fillId="0" borderId="1" xfId="0" applyNumberFormat="1" applyFont="1" applyBorder="1" applyAlignment="1">
      <alignment horizontal="center" vertical="center" wrapText="1" shrinkToFit="1"/>
    </xf>
    <xf numFmtId="176" fontId="8" fillId="0" borderId="1" xfId="0" applyNumberFormat="1" applyFont="1" applyBorder="1" applyAlignment="1">
      <alignment horizontal="center" vertical="center" wrapText="1" shrinkToFit="1"/>
    </xf>
    <xf numFmtId="185" fontId="8" fillId="0" borderId="1" xfId="0" applyNumberFormat="1" applyFont="1" applyBorder="1" applyAlignment="1">
      <alignment horizontal="center" vertical="center" wrapText="1" shrinkToFit="1"/>
    </xf>
    <xf numFmtId="176" fontId="7" fillId="0" borderId="2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 quotePrefix="1">
      <alignment horizontal="center" vertical="center" wrapText="1" shrinkToFit="1"/>
    </xf>
    <xf numFmtId="188" fontId="7" fillId="0" borderId="1" xfId="0" applyNumberFormat="1" applyFont="1" applyFill="1" applyBorder="1" applyAlignment="1">
      <alignment horizontal="center" vertical="center" wrapText="1" shrinkToFit="1"/>
    </xf>
    <xf numFmtId="188" fontId="7" fillId="0" borderId="1" xfId="0" applyNumberFormat="1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176" fontId="7" fillId="0" borderId="1" xfId="0" applyNumberFormat="1" applyFont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185" fontId="7" fillId="0" borderId="1" xfId="0" applyNumberFormat="1" applyFont="1" applyFill="1" applyBorder="1" applyAlignment="1">
      <alignment horizontal="center" vertical="center" wrapText="1" shrinkToFit="1"/>
    </xf>
    <xf numFmtId="185" fontId="7" fillId="0" borderId="1" xfId="0" applyNumberFormat="1" applyFont="1" applyBorder="1" applyAlignment="1">
      <alignment horizontal="center" vertical="center" shrinkToFit="1"/>
    </xf>
    <xf numFmtId="191" fontId="7" fillId="0" borderId="9" xfId="0" applyNumberFormat="1" applyFont="1" applyBorder="1" applyAlignment="1">
      <alignment horizontal="center" vertical="center" wrapText="1" shrinkToFit="1"/>
    </xf>
    <xf numFmtId="191" fontId="7" fillId="0" borderId="4" xfId="0" applyNumberFormat="1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188" fontId="7" fillId="0" borderId="4" xfId="0" applyNumberFormat="1" applyFont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 wrapText="1" shrinkToFit="1"/>
    </xf>
    <xf numFmtId="176" fontId="7" fillId="0" borderId="4" xfId="0" applyNumberFormat="1" applyFont="1" applyBorder="1" applyAlignment="1">
      <alignment vertical="center" shrinkToFit="1"/>
    </xf>
    <xf numFmtId="185" fontId="7" fillId="0" borderId="4" xfId="0" applyNumberFormat="1" applyFont="1" applyBorder="1" applyAlignment="1">
      <alignment horizontal="center" vertical="center" wrapText="1" shrinkToFit="1"/>
    </xf>
    <xf numFmtId="189" fontId="7" fillId="0" borderId="4" xfId="0" applyNumberFormat="1" applyFont="1" applyFill="1" applyBorder="1" applyAlignment="1">
      <alignment horizontal="center" vertical="center" wrapText="1" shrinkToFit="1"/>
    </xf>
    <xf numFmtId="189" fontId="7" fillId="0" borderId="4" xfId="0" applyNumberFormat="1" applyFont="1" applyBorder="1" applyAlignment="1">
      <alignment horizontal="center" vertical="center" wrapText="1" shrinkToFit="1"/>
    </xf>
    <xf numFmtId="176" fontId="7" fillId="0" borderId="4" xfId="0" applyNumberFormat="1" applyFont="1" applyBorder="1" applyAlignment="1">
      <alignment horizontal="center" vertical="center" wrapText="1" shrinkToFit="1"/>
    </xf>
    <xf numFmtId="176" fontId="8" fillId="0" borderId="4" xfId="0" applyNumberFormat="1" applyFont="1" applyBorder="1" applyAlignment="1">
      <alignment horizontal="center" vertical="center" wrapText="1" shrinkToFit="1"/>
    </xf>
    <xf numFmtId="176" fontId="7" fillId="0" borderId="5" xfId="0" applyNumberFormat="1" applyFont="1" applyBorder="1" applyAlignment="1">
      <alignment horizontal="center" vertical="center" wrapText="1" shrinkToFit="1"/>
    </xf>
    <xf numFmtId="191" fontId="0" fillId="0" borderId="0" xfId="0" applyNumberFormat="1" applyFont="1" applyAlignment="1">
      <alignment vertical="center" wrapText="1" shrinkToFit="1"/>
    </xf>
    <xf numFmtId="176" fontId="0" fillId="0" borderId="0" xfId="0" applyNumberFormat="1" applyFont="1" applyAlignment="1">
      <alignment vertical="center" wrapText="1" shrinkToFit="1"/>
    </xf>
    <xf numFmtId="191" fontId="7" fillId="0" borderId="0" xfId="0" applyNumberFormat="1" applyFont="1" applyAlignment="1">
      <alignment horizontal="center" vertical="center" wrapText="1" shrinkToFit="1"/>
    </xf>
    <xf numFmtId="189" fontId="7" fillId="0" borderId="0" xfId="0" applyNumberFormat="1" applyFont="1" applyAlignment="1">
      <alignment vertical="center" wrapText="1" shrinkToFit="1"/>
    </xf>
    <xf numFmtId="189" fontId="7" fillId="0" borderId="0" xfId="0" applyNumberFormat="1" applyFont="1" applyAlignment="1">
      <alignment horizontal="center" vertical="center" wrapText="1" shrinkToFit="1"/>
    </xf>
    <xf numFmtId="189" fontId="0" fillId="0" borderId="0" xfId="0" applyNumberFormat="1" applyFont="1" applyAlignment="1">
      <alignment vertical="center" wrapText="1" shrinkToFit="1"/>
    </xf>
    <xf numFmtId="176" fontId="7" fillId="0" borderId="0" xfId="0" applyNumberFormat="1" applyFont="1" applyAlignment="1">
      <alignment vertical="center" wrapText="1" shrinkToFit="1"/>
    </xf>
    <xf numFmtId="185" fontId="0" fillId="0" borderId="0" xfId="0" applyNumberFormat="1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Continuous" vertical="center" shrinkToFit="1"/>
    </xf>
    <xf numFmtId="0" fontId="7" fillId="0" borderId="0" xfId="0" applyFont="1" applyAlignment="1">
      <alignment horizontal="centerContinuous" vertical="center" wrapText="1" shrinkToFit="1"/>
    </xf>
    <xf numFmtId="188" fontId="7" fillId="0" borderId="0" xfId="0" applyNumberFormat="1" applyFont="1" applyAlignment="1">
      <alignment horizontal="centerContinuous" vertical="center" shrinkToFit="1"/>
    </xf>
    <xf numFmtId="0" fontId="7" fillId="0" borderId="0" xfId="0" applyFont="1" applyAlignment="1">
      <alignment horizontal="centerContinuous" vertical="center" shrinkToFit="1"/>
    </xf>
    <xf numFmtId="176" fontId="7" fillId="0" borderId="0" xfId="0" applyNumberFormat="1" applyFont="1" applyAlignment="1">
      <alignment horizontal="centerContinuous" vertical="center" shrinkToFit="1"/>
    </xf>
    <xf numFmtId="185" fontId="7" fillId="0" borderId="0" xfId="0" applyNumberFormat="1" applyFont="1" applyAlignment="1">
      <alignment horizontal="centerContinuous" vertical="center" shrinkToFit="1"/>
    </xf>
    <xf numFmtId="185" fontId="6" fillId="0" borderId="0" xfId="0" applyNumberFormat="1" applyFont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180" fontId="0" fillId="0" borderId="0" xfId="0" applyNumberFormat="1" applyFont="1" applyAlignment="1">
      <alignment horizontal="centerContinuous" vertical="center" shrinkToFit="1"/>
    </xf>
    <xf numFmtId="176" fontId="6" fillId="0" borderId="0" xfId="0" applyNumberFormat="1" applyFont="1" applyAlignment="1">
      <alignment horizontal="centerContinuous" vertical="center" shrinkToFit="1"/>
    </xf>
    <xf numFmtId="0" fontId="4" fillId="0" borderId="0" xfId="0" applyFont="1" applyAlignment="1">
      <alignment horizontal="centerContinuous" vertical="center" shrinkToFit="1"/>
    </xf>
    <xf numFmtId="0" fontId="7" fillId="0" borderId="3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180" fontId="7" fillId="0" borderId="1" xfId="0" applyNumberFormat="1" applyFont="1" applyBorder="1" applyAlignment="1">
      <alignment horizontal="center" vertical="center" wrapText="1" shrinkToFit="1"/>
    </xf>
    <xf numFmtId="187" fontId="7" fillId="0" borderId="1" xfId="0" applyNumberFormat="1" applyFont="1" applyBorder="1" applyAlignment="1">
      <alignment horizontal="center" vertical="center" wrapText="1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176" fontId="13" fillId="0" borderId="1" xfId="0" applyNumberFormat="1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176" fontId="7" fillId="0" borderId="0" xfId="0" applyNumberFormat="1" applyFont="1" applyAlignment="1">
      <alignment vertical="center" shrinkToFit="1"/>
    </xf>
    <xf numFmtId="180" fontId="7" fillId="0" borderId="1" xfId="0" applyNumberFormat="1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180" fontId="7" fillId="0" borderId="1" xfId="0" applyNumberFormat="1" applyFont="1" applyBorder="1" applyAlignment="1">
      <alignment horizontal="center" vertical="center" shrinkToFit="1"/>
    </xf>
    <xf numFmtId="188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top" wrapText="1" shrinkToFit="1"/>
    </xf>
    <xf numFmtId="0" fontId="7" fillId="0" borderId="4" xfId="0" applyFont="1" applyBorder="1" applyAlignment="1">
      <alignment horizontal="center" vertical="center" shrinkToFit="1"/>
    </xf>
    <xf numFmtId="188" fontId="7" fillId="0" borderId="4" xfId="0" applyNumberFormat="1" applyFont="1" applyBorder="1" applyAlignment="1">
      <alignment vertical="center"/>
    </xf>
    <xf numFmtId="176" fontId="7" fillId="0" borderId="4" xfId="0" applyNumberFormat="1" applyFont="1" applyFill="1" applyBorder="1" applyAlignment="1">
      <alignment horizontal="center" vertical="center" wrapText="1" shrinkToFit="1"/>
    </xf>
    <xf numFmtId="185" fontId="7" fillId="0" borderId="4" xfId="0" applyNumberFormat="1" applyFont="1" applyFill="1" applyBorder="1" applyAlignment="1">
      <alignment horizontal="center" vertical="center" wrapText="1" shrinkToFit="1"/>
    </xf>
    <xf numFmtId="176" fontId="13" fillId="0" borderId="4" xfId="0" applyNumberFormat="1" applyFont="1" applyBorder="1" applyAlignment="1">
      <alignment horizontal="center" vertical="center" wrapText="1" shrinkToFit="1"/>
    </xf>
    <xf numFmtId="180" fontId="7" fillId="0" borderId="4" xfId="0" applyNumberFormat="1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188" fontId="7" fillId="0" borderId="0" xfId="0" applyNumberFormat="1" applyFont="1" applyAlignment="1">
      <alignment vertical="center" shrinkToFit="1"/>
    </xf>
    <xf numFmtId="185" fontId="7" fillId="0" borderId="0" xfId="0" applyNumberFormat="1" applyFont="1" applyAlignment="1">
      <alignment horizontal="center" vertical="center" shrinkToFit="1"/>
    </xf>
    <xf numFmtId="185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185" fontId="0" fillId="0" borderId="0" xfId="0" applyNumberFormat="1" applyFont="1" applyAlignment="1">
      <alignment vertical="center" shrinkToFit="1"/>
    </xf>
    <xf numFmtId="180" fontId="0" fillId="0" borderId="0" xfId="0" applyNumberFormat="1" applyFont="1" applyAlignment="1">
      <alignment vertical="center" shrinkToFit="1"/>
    </xf>
    <xf numFmtId="176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17" fillId="0" borderId="0" xfId="16" applyFont="1" applyAlignment="1">
      <alignment horizontal="centerContinuous" vertical="center"/>
      <protection/>
    </xf>
    <xf numFmtId="0" fontId="18" fillId="0" borderId="0" xfId="16" applyFont="1" applyAlignment="1">
      <alignment horizontal="centerContinuous" vertical="center"/>
      <protection/>
    </xf>
    <xf numFmtId="176" fontId="18" fillId="0" borderId="0" xfId="16" applyNumberFormat="1" applyFont="1" applyAlignment="1">
      <alignment horizontal="centerContinuous" vertical="center"/>
      <protection/>
    </xf>
    <xf numFmtId="0" fontId="0" fillId="0" borderId="0" xfId="16" applyFont="1" applyAlignment="1">
      <alignment horizontal="center" vertical="center"/>
      <protection/>
    </xf>
    <xf numFmtId="0" fontId="12" fillId="0" borderId="0" xfId="16" applyFont="1" applyAlignment="1">
      <alignment horizontal="centerContinuous" vertical="center"/>
      <protection/>
    </xf>
    <xf numFmtId="0" fontId="0" fillId="0" borderId="0" xfId="16" applyFont="1" applyAlignment="1">
      <alignment horizontal="centerContinuous" vertical="center"/>
      <protection/>
    </xf>
    <xf numFmtId="176" fontId="0" fillId="0" borderId="0" xfId="16" applyNumberFormat="1" applyFont="1" applyAlignment="1">
      <alignment horizontal="centerContinuous" vertical="center"/>
      <protection/>
    </xf>
    <xf numFmtId="0" fontId="20" fillId="0" borderId="0" xfId="16" applyFont="1" applyAlignment="1">
      <alignment horizontal="center" vertical="center"/>
      <protection/>
    </xf>
    <xf numFmtId="0" fontId="20" fillId="0" borderId="1" xfId="16" applyFont="1" applyBorder="1" applyAlignment="1">
      <alignment horizontal="center" vertical="center" wrapText="1"/>
      <protection/>
    </xf>
    <xf numFmtId="176" fontId="20" fillId="0" borderId="1" xfId="16" applyNumberFormat="1" applyFont="1" applyBorder="1" applyAlignment="1">
      <alignment horizontal="center" vertical="center" wrapText="1"/>
      <protection/>
    </xf>
    <xf numFmtId="0" fontId="20" fillId="0" borderId="2" xfId="16" applyFont="1" applyBorder="1" applyAlignment="1">
      <alignment horizontal="center" vertical="center" wrapText="1"/>
      <protection/>
    </xf>
    <xf numFmtId="0" fontId="21" fillId="0" borderId="1" xfId="16" applyFont="1" applyBorder="1" applyAlignment="1">
      <alignment horizontal="center" vertical="center" wrapText="1"/>
      <protection/>
    </xf>
    <xf numFmtId="0" fontId="20" fillId="0" borderId="4" xfId="16" applyFont="1" applyBorder="1" applyAlignment="1">
      <alignment horizontal="center" vertical="center" wrapText="1"/>
      <protection/>
    </xf>
    <xf numFmtId="176" fontId="20" fillId="0" borderId="4" xfId="16" applyNumberFormat="1" applyFont="1" applyBorder="1" applyAlignment="1">
      <alignment horizontal="center" vertical="center" wrapText="1"/>
      <protection/>
    </xf>
    <xf numFmtId="0" fontId="20" fillId="0" borderId="5" xfId="16" applyFont="1" applyBorder="1" applyAlignment="1">
      <alignment horizontal="center" vertical="center" wrapText="1"/>
      <protection/>
    </xf>
    <xf numFmtId="176" fontId="20" fillId="0" borderId="0" xfId="16" applyNumberFormat="1" applyFont="1" applyAlignment="1">
      <alignment horizontal="center" vertical="center"/>
      <protection/>
    </xf>
    <xf numFmtId="176" fontId="0" fillId="0" borderId="0" xfId="16" applyNumberFormat="1" applyFont="1" applyAlignment="1">
      <alignment horizontal="center" vertical="center"/>
      <protection/>
    </xf>
    <xf numFmtId="0" fontId="5" fillId="0" borderId="0" xfId="0" applyFont="1" applyAlignment="1">
      <alignment horizontal="centerContinuous" vertical="center"/>
    </xf>
    <xf numFmtId="176" fontId="4" fillId="0" borderId="0" xfId="0" applyNumberFormat="1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1" xfId="0" applyFont="1" applyBorder="1" applyAlignment="1">
      <alignment horizontal="left" vertical="center" wrapText="1"/>
    </xf>
    <xf numFmtId="180" fontId="7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vertical="center"/>
    </xf>
    <xf numFmtId="180" fontId="0" fillId="0" borderId="0" xfId="0" applyNumberForma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176" fontId="16" fillId="0" borderId="0" xfId="0" applyNumberFormat="1" applyFont="1" applyAlignment="1">
      <alignment horizontal="centerContinuous" vertical="center"/>
    </xf>
    <xf numFmtId="180" fontId="16" fillId="0" borderId="0" xfId="0" applyNumberFormat="1" applyFont="1" applyAlignment="1">
      <alignment horizontal="centerContinuous" vertical="center"/>
    </xf>
    <xf numFmtId="176" fontId="16" fillId="0" borderId="0" xfId="0" applyNumberFormat="1" applyFont="1" applyBorder="1" applyAlignment="1">
      <alignment horizontal="centerContinuous" vertical="center"/>
    </xf>
    <xf numFmtId="176" fontId="0" fillId="0" borderId="0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 textRotation="255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3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textRotation="255" wrapText="1" shrinkToFit="1"/>
    </xf>
    <xf numFmtId="0" fontId="7" fillId="0" borderId="1" xfId="0" applyFont="1" applyFill="1" applyBorder="1" applyAlignment="1">
      <alignment horizontal="center" vertical="center" textRotation="255" wrapText="1" shrinkToFit="1"/>
    </xf>
    <xf numFmtId="0" fontId="0" fillId="0" borderId="1" xfId="0" applyFont="1" applyBorder="1" applyAlignment="1">
      <alignment horizontal="center" vertical="center" textRotation="255" wrapText="1" shrinkToFit="1"/>
    </xf>
    <xf numFmtId="0" fontId="7" fillId="0" borderId="1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vertical="center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textRotation="255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20" fillId="0" borderId="8" xfId="16" applyFont="1" applyBorder="1" applyAlignment="1">
      <alignment horizontal="center" vertical="center" wrapText="1"/>
      <protection/>
    </xf>
    <xf numFmtId="0" fontId="20" fillId="0" borderId="9" xfId="16" applyFont="1" applyBorder="1" applyAlignment="1">
      <alignment horizontal="center" vertical="center" wrapText="1"/>
      <protection/>
    </xf>
    <xf numFmtId="0" fontId="20" fillId="0" borderId="6" xfId="16" applyFont="1" applyBorder="1" applyAlignment="1">
      <alignment horizontal="center" vertical="center" wrapText="1"/>
      <protection/>
    </xf>
    <xf numFmtId="0" fontId="20" fillId="0" borderId="3" xfId="16" applyFont="1" applyBorder="1" applyAlignment="1">
      <alignment horizontal="center" vertical="center" wrapText="1"/>
      <protection/>
    </xf>
    <xf numFmtId="0" fontId="20" fillId="0" borderId="7" xfId="16" applyFont="1" applyBorder="1" applyAlignment="1">
      <alignment horizontal="center" vertical="center" wrapText="1"/>
      <protection/>
    </xf>
    <xf numFmtId="0" fontId="20" fillId="0" borderId="1" xfId="16" applyFont="1" applyBorder="1" applyAlignment="1">
      <alignment horizontal="center" vertical="center" wrapText="1"/>
      <protection/>
    </xf>
    <xf numFmtId="0" fontId="20" fillId="0" borderId="4" xfId="16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闸室稳定及基底应力计算成果表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C1">
      <selection activeCell="D11" sqref="D11"/>
    </sheetView>
  </sheetViews>
  <sheetFormatPr defaultColWidth="9.00390625" defaultRowHeight="24.75" customHeight="1"/>
  <cols>
    <col min="1" max="1" width="5.00390625" style="0" customWidth="1"/>
    <col min="2" max="2" width="6.625" style="0" customWidth="1"/>
    <col min="3" max="3" width="5.00390625" style="0" customWidth="1"/>
    <col min="4" max="4" width="5.00390625" style="19" customWidth="1"/>
    <col min="5" max="5" width="5.25390625" style="0" customWidth="1"/>
    <col min="6" max="6" width="6.625" style="0" customWidth="1"/>
    <col min="7" max="7" width="7.625" style="0" hidden="1" customWidth="1"/>
    <col min="8" max="8" width="5.00390625" style="0" customWidth="1"/>
    <col min="9" max="9" width="7.125" style="20" customWidth="1"/>
    <col min="10" max="10" width="5.625" style="0" customWidth="1"/>
    <col min="11" max="11" width="7.50390625" style="21" customWidth="1"/>
    <col min="12" max="12" width="7.00390625" style="20" customWidth="1"/>
    <col min="13" max="13" width="6.00390625" style="20" customWidth="1"/>
    <col min="14" max="14" width="7.125" style="22" customWidth="1"/>
    <col min="15" max="15" width="7.875" style="0" customWidth="1"/>
    <col min="16" max="16" width="5.50390625" style="0" customWidth="1"/>
    <col min="17" max="17" width="6.25390625" style="21" customWidth="1"/>
    <col min="18" max="18" width="7.625" style="20" customWidth="1"/>
    <col min="19" max="19" width="0" style="0" hidden="1" customWidth="1"/>
    <col min="20" max="20" width="8.375" style="23" customWidth="1"/>
  </cols>
  <sheetData>
    <row r="1" spans="2:20" s="1" customFormat="1" ht="24.75" customHeight="1">
      <c r="B1" s="185" t="s">
        <v>17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2:20" s="1" customFormat="1" ht="18" customHeight="1" thickBot="1">
      <c r="B2" s="24"/>
      <c r="C2" s="2"/>
      <c r="D2" s="3"/>
      <c r="E2" s="2"/>
      <c r="F2" s="2"/>
      <c r="G2" s="2"/>
      <c r="H2" s="2"/>
      <c r="I2" s="4"/>
      <c r="J2" s="2"/>
      <c r="K2" s="5"/>
      <c r="L2" s="4"/>
      <c r="M2" s="4"/>
      <c r="N2" s="6"/>
      <c r="O2" s="2"/>
      <c r="P2" s="2"/>
      <c r="Q2" s="5"/>
      <c r="R2" s="26" t="s">
        <v>294</v>
      </c>
      <c r="T2" s="7"/>
    </row>
    <row r="3" spans="1:20" s="8" customFormat="1" ht="20.25" customHeight="1">
      <c r="A3" s="196" t="s">
        <v>34</v>
      </c>
      <c r="B3" s="187" t="s">
        <v>0</v>
      </c>
      <c r="C3" s="175" t="s">
        <v>1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 t="s">
        <v>39</v>
      </c>
      <c r="P3" s="175"/>
      <c r="Q3" s="175"/>
      <c r="R3" s="175"/>
      <c r="S3" s="28"/>
      <c r="T3" s="189" t="s">
        <v>2</v>
      </c>
    </row>
    <row r="4" spans="1:20" s="8" customFormat="1" ht="39" customHeight="1">
      <c r="A4" s="197"/>
      <c r="B4" s="188"/>
      <c r="C4" s="9" t="s">
        <v>3</v>
      </c>
      <c r="D4" s="9" t="s">
        <v>19</v>
      </c>
      <c r="E4" s="9" t="s">
        <v>4</v>
      </c>
      <c r="F4" s="9" t="s">
        <v>5</v>
      </c>
      <c r="G4" s="9" t="s">
        <v>5</v>
      </c>
      <c r="H4" s="9" t="s">
        <v>6</v>
      </c>
      <c r="I4" s="10" t="s">
        <v>7</v>
      </c>
      <c r="J4" s="9" t="s">
        <v>8</v>
      </c>
      <c r="K4" s="11" t="s">
        <v>9</v>
      </c>
      <c r="L4" s="10" t="s">
        <v>10</v>
      </c>
      <c r="M4" s="10" t="s">
        <v>11</v>
      </c>
      <c r="N4" s="10" t="s">
        <v>12</v>
      </c>
      <c r="O4" s="9" t="s">
        <v>20</v>
      </c>
      <c r="P4" s="9" t="s">
        <v>13</v>
      </c>
      <c r="Q4" s="11" t="s">
        <v>14</v>
      </c>
      <c r="R4" s="12" t="s">
        <v>15</v>
      </c>
      <c r="S4" s="29"/>
      <c r="T4" s="190"/>
    </row>
    <row r="5" spans="1:20" s="8" customFormat="1" ht="27" customHeight="1">
      <c r="A5" s="176" t="s">
        <v>22</v>
      </c>
      <c r="B5" s="14" t="s">
        <v>38</v>
      </c>
      <c r="C5" s="14">
        <v>4</v>
      </c>
      <c r="D5" s="14">
        <v>1.75</v>
      </c>
      <c r="E5" s="14">
        <v>1.5</v>
      </c>
      <c r="F5" s="14" t="s">
        <v>18</v>
      </c>
      <c r="G5" s="14">
        <f>1/7000</f>
        <v>0.00014285714285714287</v>
      </c>
      <c r="H5" s="14">
        <v>0.018</v>
      </c>
      <c r="I5" s="15">
        <f>(C5+E5*D5)*D5</f>
        <v>11.59375</v>
      </c>
      <c r="J5" s="14">
        <f>C5+2*D5*(1+E5^2)^(1/2)</f>
        <v>10.30971473206198</v>
      </c>
      <c r="K5" s="16">
        <f>I5/J5</f>
        <v>1.1245461490747968</v>
      </c>
      <c r="L5" s="15">
        <f>(1/H5)*K5^(1/6)</f>
        <v>56.65310387136495</v>
      </c>
      <c r="M5" s="15">
        <f>N5/I5</f>
        <v>0.7180642910265082</v>
      </c>
      <c r="N5" s="17">
        <f>I5*L5*(K5*G5)^(1/2)</f>
        <v>8.325057874088579</v>
      </c>
      <c r="O5" s="14">
        <v>7.72</v>
      </c>
      <c r="P5" s="14">
        <v>0.65</v>
      </c>
      <c r="Q5" s="18">
        <v>0.575</v>
      </c>
      <c r="R5" s="17">
        <f>O5*Q5/P5</f>
        <v>6.829230769230768</v>
      </c>
      <c r="S5" s="25">
        <f>N5-R5</f>
        <v>1.4958271048578107</v>
      </c>
      <c r="T5" s="13" t="s">
        <v>16</v>
      </c>
    </row>
    <row r="6" spans="1:20" ht="27" customHeight="1">
      <c r="A6" s="191"/>
      <c r="B6" s="14" t="s">
        <v>296</v>
      </c>
      <c r="C6" s="14">
        <v>4</v>
      </c>
      <c r="D6" s="14">
        <v>1.7</v>
      </c>
      <c r="E6" s="14">
        <v>1.5</v>
      </c>
      <c r="F6" s="14" t="s">
        <v>18</v>
      </c>
      <c r="G6" s="14">
        <f aca="true" t="shared" si="0" ref="G6:G11">1/7000</f>
        <v>0.00014285714285714287</v>
      </c>
      <c r="H6" s="14">
        <v>0.018</v>
      </c>
      <c r="I6" s="15">
        <f aca="true" t="shared" si="1" ref="I6:I17">(C6+E6*D6)*D6</f>
        <v>11.135</v>
      </c>
      <c r="J6" s="14">
        <f aca="true" t="shared" si="2" ref="J6:J17">C6+2*D6*(1+E6^2)^(1/2)</f>
        <v>10.129437168288781</v>
      </c>
      <c r="K6" s="16">
        <f aca="true" t="shared" si="3" ref="K6:K17">I6/J6</f>
        <v>1.099271343017876</v>
      </c>
      <c r="L6" s="15">
        <f aca="true" t="shared" si="4" ref="L6:L17">(1/H6)*K6^(1/6)</f>
        <v>56.43887035981484</v>
      </c>
      <c r="M6" s="15">
        <f aca="true" t="shared" si="5" ref="M6:M17">N6/I6</f>
        <v>0.707264314259432</v>
      </c>
      <c r="N6" s="17">
        <f aca="true" t="shared" si="6" ref="N6:N17">I6*L6*(K6*G6)^(1/2)</f>
        <v>7.875388139278775</v>
      </c>
      <c r="O6" s="14">
        <v>7.17</v>
      </c>
      <c r="P6" s="14">
        <v>0.65</v>
      </c>
      <c r="Q6" s="18">
        <v>0.575</v>
      </c>
      <c r="R6" s="17">
        <f aca="true" t="shared" si="7" ref="R6:R17">O6*Q6/P6</f>
        <v>6.342692307692308</v>
      </c>
      <c r="S6" s="25">
        <f aca="true" t="shared" si="8" ref="S6:S17">N6-R6</f>
        <v>1.5326958315864676</v>
      </c>
      <c r="T6" s="13" t="s">
        <v>16</v>
      </c>
    </row>
    <row r="7" spans="1:20" ht="27" customHeight="1">
      <c r="A7" s="191"/>
      <c r="B7" s="14" t="s">
        <v>297</v>
      </c>
      <c r="C7" s="14">
        <v>4</v>
      </c>
      <c r="D7" s="14">
        <v>1.65</v>
      </c>
      <c r="E7" s="14">
        <v>1.5</v>
      </c>
      <c r="F7" s="14" t="s">
        <v>18</v>
      </c>
      <c r="G7" s="14">
        <f t="shared" si="0"/>
        <v>0.00014285714285714287</v>
      </c>
      <c r="H7" s="14">
        <v>0.018</v>
      </c>
      <c r="I7" s="15">
        <f t="shared" si="1"/>
        <v>10.683749999999998</v>
      </c>
      <c r="J7" s="14">
        <f t="shared" si="2"/>
        <v>9.949159604515582</v>
      </c>
      <c r="K7" s="16">
        <f t="shared" si="3"/>
        <v>1.0738344166426892</v>
      </c>
      <c r="L7" s="15">
        <f t="shared" si="4"/>
        <v>56.219077469207846</v>
      </c>
      <c r="M7" s="15">
        <f t="shared" si="5"/>
        <v>0.6963111575559136</v>
      </c>
      <c r="N7" s="17">
        <f t="shared" si="6"/>
        <v>7.4392143295379904</v>
      </c>
      <c r="O7" s="14">
        <v>6.77</v>
      </c>
      <c r="P7" s="14">
        <v>0.65</v>
      </c>
      <c r="Q7" s="18">
        <v>0.575</v>
      </c>
      <c r="R7" s="17">
        <f t="shared" si="7"/>
        <v>5.988846153846153</v>
      </c>
      <c r="S7" s="25">
        <f t="shared" si="8"/>
        <v>1.4503681756918372</v>
      </c>
      <c r="T7" s="13" t="s">
        <v>16</v>
      </c>
    </row>
    <row r="8" spans="1:20" ht="27" customHeight="1">
      <c r="A8" s="191"/>
      <c r="B8" s="14" t="s">
        <v>21</v>
      </c>
      <c r="C8" s="14">
        <v>4</v>
      </c>
      <c r="D8" s="14">
        <v>1.55</v>
      </c>
      <c r="E8" s="14">
        <v>1.5</v>
      </c>
      <c r="F8" s="14" t="s">
        <v>18</v>
      </c>
      <c r="G8" s="14">
        <f t="shared" si="0"/>
        <v>0.00014285714285714287</v>
      </c>
      <c r="H8" s="14">
        <v>0.018</v>
      </c>
      <c r="I8" s="15">
        <f t="shared" si="1"/>
        <v>9.80375</v>
      </c>
      <c r="J8" s="14">
        <f t="shared" si="2"/>
        <v>9.588604476969184</v>
      </c>
      <c r="K8" s="16">
        <f t="shared" si="3"/>
        <v>1.0224376261996804</v>
      </c>
      <c r="L8" s="15">
        <f t="shared" si="4"/>
        <v>55.76139525908906</v>
      </c>
      <c r="M8" s="15">
        <f t="shared" si="5"/>
        <v>0.6739117425619351</v>
      </c>
      <c r="N8" s="17">
        <f t="shared" si="6"/>
        <v>6.606862246141572</v>
      </c>
      <c r="O8" s="14">
        <v>6.47</v>
      </c>
      <c r="P8" s="14">
        <v>0.65</v>
      </c>
      <c r="Q8" s="18">
        <v>0.575</v>
      </c>
      <c r="R8" s="17">
        <f t="shared" si="7"/>
        <v>5.723461538461538</v>
      </c>
      <c r="S8" s="25">
        <f t="shared" si="8"/>
        <v>0.8834007076800336</v>
      </c>
      <c r="T8" s="13" t="s">
        <v>16</v>
      </c>
    </row>
    <row r="9" spans="1:20" ht="27" customHeight="1">
      <c r="A9" s="176" t="s">
        <v>23</v>
      </c>
      <c r="B9" s="14" t="s">
        <v>37</v>
      </c>
      <c r="C9" s="14">
        <v>2</v>
      </c>
      <c r="D9" s="14">
        <v>1.65</v>
      </c>
      <c r="E9" s="14">
        <v>1.5</v>
      </c>
      <c r="F9" s="14" t="s">
        <v>18</v>
      </c>
      <c r="G9" s="14">
        <f t="shared" si="0"/>
        <v>0.00014285714285714287</v>
      </c>
      <c r="H9" s="14">
        <v>0.018</v>
      </c>
      <c r="I9" s="15">
        <f t="shared" si="1"/>
        <v>7.383749999999999</v>
      </c>
      <c r="J9" s="14">
        <f t="shared" si="2"/>
        <v>7.9491596045155815</v>
      </c>
      <c r="K9" s="16">
        <f t="shared" si="3"/>
        <v>0.9288717760561258</v>
      </c>
      <c r="L9" s="15">
        <f t="shared" si="4"/>
        <v>54.87654863851177</v>
      </c>
      <c r="M9" s="15">
        <f t="shared" si="5"/>
        <v>0.6321434653398471</v>
      </c>
      <c r="N9" s="17">
        <f t="shared" si="6"/>
        <v>4.667589312203096</v>
      </c>
      <c r="O9" s="14">
        <v>3.06</v>
      </c>
      <c r="P9" s="14">
        <v>0.65</v>
      </c>
      <c r="Q9" s="18">
        <v>0.575</v>
      </c>
      <c r="R9" s="17">
        <f t="shared" si="7"/>
        <v>2.7069230769230765</v>
      </c>
      <c r="S9" s="25">
        <f t="shared" si="8"/>
        <v>1.9606662352800193</v>
      </c>
      <c r="T9" s="13" t="s">
        <v>16</v>
      </c>
    </row>
    <row r="10" spans="1:20" ht="27" customHeight="1">
      <c r="A10" s="191"/>
      <c r="B10" s="14" t="s">
        <v>24</v>
      </c>
      <c r="C10" s="14">
        <v>1.5</v>
      </c>
      <c r="D10" s="14">
        <v>1.5</v>
      </c>
      <c r="E10" s="14">
        <v>1.5</v>
      </c>
      <c r="F10" s="14" t="s">
        <v>18</v>
      </c>
      <c r="G10" s="14">
        <f t="shared" si="0"/>
        <v>0.00014285714285714287</v>
      </c>
      <c r="H10" s="14">
        <v>0.018</v>
      </c>
      <c r="I10" s="15">
        <f t="shared" si="1"/>
        <v>5.625</v>
      </c>
      <c r="J10" s="14">
        <f t="shared" si="2"/>
        <v>6.9083269131959835</v>
      </c>
      <c r="K10" s="16">
        <f t="shared" si="3"/>
        <v>0.8142347735824967</v>
      </c>
      <c r="L10" s="15">
        <f t="shared" si="4"/>
        <v>53.684935526762516</v>
      </c>
      <c r="M10" s="15">
        <f t="shared" si="5"/>
        <v>0.5789995668250009</v>
      </c>
      <c r="N10" s="17">
        <f t="shared" si="6"/>
        <v>3.25687256339063</v>
      </c>
      <c r="O10" s="14">
        <v>3.63</v>
      </c>
      <c r="P10" s="14">
        <v>0.65</v>
      </c>
      <c r="Q10" s="18">
        <v>0.575</v>
      </c>
      <c r="R10" s="17">
        <f t="shared" si="7"/>
        <v>3.2111538461538456</v>
      </c>
      <c r="S10" s="25">
        <f t="shared" si="8"/>
        <v>0.045718717236784556</v>
      </c>
      <c r="T10" s="13" t="s">
        <v>16</v>
      </c>
    </row>
    <row r="11" spans="1:20" ht="27" customHeight="1">
      <c r="A11" s="191"/>
      <c r="B11" s="14" t="s">
        <v>25</v>
      </c>
      <c r="C11" s="14">
        <v>1.5</v>
      </c>
      <c r="D11" s="14">
        <v>1.1</v>
      </c>
      <c r="E11" s="14">
        <v>1.5</v>
      </c>
      <c r="F11" s="14" t="s">
        <v>18</v>
      </c>
      <c r="G11" s="14">
        <f t="shared" si="0"/>
        <v>0.00014285714285714287</v>
      </c>
      <c r="H11" s="14">
        <v>0.018</v>
      </c>
      <c r="I11" s="15">
        <f t="shared" si="1"/>
        <v>3.4650000000000007</v>
      </c>
      <c r="J11" s="14">
        <f t="shared" si="2"/>
        <v>5.4661064030103885</v>
      </c>
      <c r="K11" s="16">
        <f t="shared" si="3"/>
        <v>0.6339064307441392</v>
      </c>
      <c r="L11" s="15">
        <f t="shared" si="4"/>
        <v>51.49104286459509</v>
      </c>
      <c r="M11" s="15">
        <f t="shared" si="5"/>
        <v>0.4899990596593026</v>
      </c>
      <c r="N11" s="17">
        <f t="shared" si="6"/>
        <v>1.697846741719484</v>
      </c>
      <c r="O11" s="14">
        <v>1.63</v>
      </c>
      <c r="P11" s="14">
        <v>0.65</v>
      </c>
      <c r="Q11" s="18">
        <v>0.575</v>
      </c>
      <c r="R11" s="17">
        <f t="shared" si="7"/>
        <v>1.4419230769230766</v>
      </c>
      <c r="S11" s="25">
        <f t="shared" si="8"/>
        <v>0.2559236647964074</v>
      </c>
      <c r="T11" s="13" t="s">
        <v>16</v>
      </c>
    </row>
    <row r="12" spans="1:20" ht="27" customHeight="1">
      <c r="A12" s="192" t="s">
        <v>26</v>
      </c>
      <c r="B12" s="14" t="s">
        <v>27</v>
      </c>
      <c r="C12" s="14">
        <v>1.5</v>
      </c>
      <c r="D12" s="14">
        <v>1.55</v>
      </c>
      <c r="E12" s="14">
        <v>1.5</v>
      </c>
      <c r="F12" s="14" t="s">
        <v>28</v>
      </c>
      <c r="G12" s="14">
        <f aca="true" t="shared" si="9" ref="G12:G17">1/5000</f>
        <v>0.0002</v>
      </c>
      <c r="H12" s="14">
        <v>0.018</v>
      </c>
      <c r="I12" s="15">
        <f t="shared" si="1"/>
        <v>5.928750000000001</v>
      </c>
      <c r="J12" s="14">
        <f t="shared" si="2"/>
        <v>7.088604476969183</v>
      </c>
      <c r="K12" s="16">
        <f t="shared" si="3"/>
        <v>0.8363776000286742</v>
      </c>
      <c r="L12" s="15">
        <f t="shared" si="4"/>
        <v>53.925547158794075</v>
      </c>
      <c r="M12" s="15">
        <f t="shared" si="5"/>
        <v>0.6974462679719277</v>
      </c>
      <c r="N12" s="17">
        <f t="shared" si="6"/>
        <v>4.134984561238567</v>
      </c>
      <c r="O12" s="14">
        <v>3.41</v>
      </c>
      <c r="P12" s="14">
        <v>0.65</v>
      </c>
      <c r="Q12" s="18">
        <v>0.575</v>
      </c>
      <c r="R12" s="17">
        <f t="shared" si="7"/>
        <v>3.0165384615384614</v>
      </c>
      <c r="S12" s="25">
        <f t="shared" si="8"/>
        <v>1.1184460997001056</v>
      </c>
      <c r="T12" s="13" t="s">
        <v>16</v>
      </c>
    </row>
    <row r="13" spans="1:20" ht="27" customHeight="1">
      <c r="A13" s="193"/>
      <c r="B13" s="14" t="s">
        <v>29</v>
      </c>
      <c r="C13" s="14">
        <v>1.5</v>
      </c>
      <c r="D13" s="14">
        <v>1.35</v>
      </c>
      <c r="E13" s="14">
        <v>1.5</v>
      </c>
      <c r="F13" s="14" t="s">
        <v>28</v>
      </c>
      <c r="G13" s="14">
        <f t="shared" si="9"/>
        <v>0.0002</v>
      </c>
      <c r="H13" s="14">
        <v>0.018</v>
      </c>
      <c r="I13" s="15">
        <f t="shared" si="1"/>
        <v>4.758750000000001</v>
      </c>
      <c r="J13" s="14">
        <f t="shared" si="2"/>
        <v>6.3674942218763855</v>
      </c>
      <c r="K13" s="16">
        <f t="shared" si="3"/>
        <v>0.7473505014972253</v>
      </c>
      <c r="L13" s="15">
        <f t="shared" si="4"/>
        <v>52.92345842899385</v>
      </c>
      <c r="M13" s="15">
        <f t="shared" si="5"/>
        <v>0.6470314333486197</v>
      </c>
      <c r="N13" s="17">
        <f t="shared" si="6"/>
        <v>3.0790608334477447</v>
      </c>
      <c r="O13" s="14">
        <v>3.29</v>
      </c>
      <c r="P13" s="14">
        <v>0.65</v>
      </c>
      <c r="Q13" s="18">
        <v>0.575</v>
      </c>
      <c r="R13" s="17">
        <f t="shared" si="7"/>
        <v>2.910384615384615</v>
      </c>
      <c r="S13" s="25">
        <f t="shared" si="8"/>
        <v>0.16867621806312982</v>
      </c>
      <c r="T13" s="13" t="s">
        <v>16</v>
      </c>
    </row>
    <row r="14" spans="1:20" ht="27" customHeight="1">
      <c r="A14" s="193"/>
      <c r="B14" s="14" t="s">
        <v>30</v>
      </c>
      <c r="C14" s="14">
        <v>1.5</v>
      </c>
      <c r="D14" s="14">
        <v>1.25</v>
      </c>
      <c r="E14" s="14">
        <v>1.5</v>
      </c>
      <c r="F14" s="14" t="s">
        <v>28</v>
      </c>
      <c r="G14" s="14">
        <f t="shared" si="9"/>
        <v>0.0002</v>
      </c>
      <c r="H14" s="14">
        <v>0.018</v>
      </c>
      <c r="I14" s="15">
        <f>(C14+E14*D14)*D14</f>
        <v>4.21875</v>
      </c>
      <c r="J14" s="14">
        <f>C14+2*D14*(1+E14^2)^(1/2)</f>
        <v>6.0069390943299865</v>
      </c>
      <c r="K14" s="16">
        <f>I14/J14</f>
        <v>0.7023127642466231</v>
      </c>
      <c r="L14" s="15">
        <f>(1/H14)*K14^(1/6)</f>
        <v>52.37804146964173</v>
      </c>
      <c r="M14" s="15">
        <f>N14/I14</f>
        <v>0.62076830366118</v>
      </c>
      <c r="N14" s="17">
        <f>I14*L14*(K14*G14)^(1/2)</f>
        <v>2.618866281070603</v>
      </c>
      <c r="O14" s="14">
        <v>2.89</v>
      </c>
      <c r="P14" s="14">
        <v>0.65</v>
      </c>
      <c r="Q14" s="18">
        <v>0.575</v>
      </c>
      <c r="R14" s="17">
        <f>O14*Q14/P14</f>
        <v>2.556538461538461</v>
      </c>
      <c r="S14" s="25">
        <f>N14-R14</f>
        <v>0.06232781953214195</v>
      </c>
      <c r="T14" s="13" t="s">
        <v>16</v>
      </c>
    </row>
    <row r="15" spans="1:20" ht="27" customHeight="1">
      <c r="A15" s="193"/>
      <c r="B15" s="14" t="s">
        <v>31</v>
      </c>
      <c r="C15" s="14">
        <v>1.5</v>
      </c>
      <c r="D15" s="14">
        <v>1.15</v>
      </c>
      <c r="E15" s="14">
        <v>1.5</v>
      </c>
      <c r="F15" s="14" t="s">
        <v>28</v>
      </c>
      <c r="G15" s="14">
        <f t="shared" si="9"/>
        <v>0.0002</v>
      </c>
      <c r="H15" s="14">
        <v>0.018</v>
      </c>
      <c r="I15" s="15">
        <f t="shared" si="1"/>
        <v>3.7087499999999993</v>
      </c>
      <c r="J15" s="14">
        <f t="shared" si="2"/>
        <v>5.646383966783588</v>
      </c>
      <c r="K15" s="16">
        <f t="shared" si="3"/>
        <v>0.6568363083024011</v>
      </c>
      <c r="L15" s="15">
        <f t="shared" si="4"/>
        <v>51.79689027307772</v>
      </c>
      <c r="M15" s="15">
        <f t="shared" si="5"/>
        <v>0.5936729488181982</v>
      </c>
      <c r="N15" s="17">
        <f t="shared" si="6"/>
        <v>2.201784548929492</v>
      </c>
      <c r="O15" s="14">
        <v>2.49</v>
      </c>
      <c r="P15" s="14">
        <v>0.65</v>
      </c>
      <c r="Q15" s="18">
        <v>0.575</v>
      </c>
      <c r="R15" s="17">
        <f t="shared" si="7"/>
        <v>2.202692307692308</v>
      </c>
      <c r="S15" s="25">
        <f t="shared" si="8"/>
        <v>-0.0009077587628159023</v>
      </c>
      <c r="T15" s="13" t="s">
        <v>16</v>
      </c>
    </row>
    <row r="16" spans="1:20" ht="27" customHeight="1">
      <c r="A16" s="194"/>
      <c r="B16" s="14" t="s">
        <v>32</v>
      </c>
      <c r="C16" s="14">
        <v>1.5</v>
      </c>
      <c r="D16" s="14">
        <v>1.05</v>
      </c>
      <c r="E16" s="14">
        <v>1.5</v>
      </c>
      <c r="F16" s="14" t="s">
        <v>35</v>
      </c>
      <c r="G16" s="14">
        <f t="shared" si="9"/>
        <v>0.0002</v>
      </c>
      <c r="H16" s="14">
        <v>0.018</v>
      </c>
      <c r="I16" s="15">
        <f t="shared" si="1"/>
        <v>3.2287500000000002</v>
      </c>
      <c r="J16" s="14">
        <f t="shared" si="2"/>
        <v>5.285828839237189</v>
      </c>
      <c r="K16" s="16">
        <f t="shared" si="3"/>
        <v>0.6108313564814463</v>
      </c>
      <c r="L16" s="15">
        <f t="shared" si="4"/>
        <v>51.17380564929036</v>
      </c>
      <c r="M16" s="15">
        <f t="shared" si="5"/>
        <v>0.5656181992088875</v>
      </c>
      <c r="N16" s="17">
        <f t="shared" si="6"/>
        <v>1.8262397606956955</v>
      </c>
      <c r="O16" s="14">
        <v>1.99</v>
      </c>
      <c r="P16" s="14">
        <v>0.65</v>
      </c>
      <c r="Q16" s="18">
        <v>0.575</v>
      </c>
      <c r="R16" s="17">
        <f t="shared" si="7"/>
        <v>1.7603846153846152</v>
      </c>
      <c r="S16" s="25">
        <f t="shared" si="8"/>
        <v>0.06585514531108028</v>
      </c>
      <c r="T16" s="13" t="s">
        <v>16</v>
      </c>
    </row>
    <row r="17" spans="1:20" ht="27" customHeight="1" thickBot="1">
      <c r="A17" s="195"/>
      <c r="B17" s="30" t="s">
        <v>33</v>
      </c>
      <c r="C17" s="30">
        <v>1.5</v>
      </c>
      <c r="D17" s="30">
        <v>0.9</v>
      </c>
      <c r="E17" s="30">
        <v>1.5</v>
      </c>
      <c r="F17" s="30" t="s">
        <v>36</v>
      </c>
      <c r="G17" s="30">
        <f t="shared" si="9"/>
        <v>0.0002</v>
      </c>
      <c r="H17" s="30">
        <v>0.018</v>
      </c>
      <c r="I17" s="31">
        <f t="shared" si="1"/>
        <v>2.565</v>
      </c>
      <c r="J17" s="30">
        <f t="shared" si="2"/>
        <v>4.74499614791759</v>
      </c>
      <c r="K17" s="32">
        <f t="shared" si="3"/>
        <v>0.5405694588657753</v>
      </c>
      <c r="L17" s="31">
        <f t="shared" si="4"/>
        <v>50.142126219374155</v>
      </c>
      <c r="M17" s="31">
        <f t="shared" si="5"/>
        <v>0.5213669486921487</v>
      </c>
      <c r="N17" s="33">
        <f t="shared" si="6"/>
        <v>1.3373062233953614</v>
      </c>
      <c r="O17" s="30">
        <v>1.49</v>
      </c>
      <c r="P17" s="30">
        <v>0.65</v>
      </c>
      <c r="Q17" s="34">
        <v>0.575</v>
      </c>
      <c r="R17" s="33">
        <f t="shared" si="7"/>
        <v>1.318076923076923</v>
      </c>
      <c r="S17" s="35">
        <f t="shared" si="8"/>
        <v>0.019229300318438503</v>
      </c>
      <c r="T17" s="36" t="s">
        <v>16</v>
      </c>
    </row>
    <row r="18" ht="27" customHeight="1"/>
  </sheetData>
  <mergeCells count="9">
    <mergeCell ref="A5:A8"/>
    <mergeCell ref="A9:A11"/>
    <mergeCell ref="A12:A17"/>
    <mergeCell ref="A3:A4"/>
    <mergeCell ref="B1:T1"/>
    <mergeCell ref="B3:B4"/>
    <mergeCell ref="T3:T4"/>
    <mergeCell ref="C3:N3"/>
    <mergeCell ref="O3:R3"/>
  </mergeCells>
  <printOptions horizontalCentered="1" verticalCentered="1"/>
  <pageMargins left="0.9448818897637796" right="0.7480314960629921" top="0.984251968503937" bottom="0.787401574803149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zoomScale="85" zoomScaleNormal="85" workbookViewId="0" topLeftCell="C1">
      <selection activeCell="C2" sqref="A2:IV2"/>
    </sheetView>
  </sheetViews>
  <sheetFormatPr defaultColWidth="9.00390625" defaultRowHeight="30" customHeight="1"/>
  <cols>
    <col min="1" max="1" width="3.875" style="0" customWidth="1"/>
    <col min="2" max="2" width="4.25390625" style="27" customWidth="1"/>
    <col min="3" max="3" width="6.125" style="27" customWidth="1"/>
    <col min="4" max="4" width="6.25390625" style="0" customWidth="1"/>
    <col min="5" max="5" width="4.25390625" style="0" customWidth="1"/>
    <col min="6" max="6" width="5.00390625" style="19" customWidth="1"/>
    <col min="7" max="7" width="5.25390625" style="0" customWidth="1"/>
    <col min="8" max="8" width="6.625" style="0" customWidth="1"/>
    <col min="9" max="9" width="7.625" style="0" hidden="1" customWidth="1"/>
    <col min="10" max="10" width="5.75390625" style="0" customWidth="1"/>
    <col min="11" max="12" width="6.50390625" style="20" customWidth="1"/>
    <col min="13" max="13" width="5.875" style="21" customWidth="1"/>
    <col min="14" max="14" width="7.00390625" style="20" customWidth="1"/>
    <col min="15" max="15" width="7.00390625" style="22" customWidth="1"/>
    <col min="16" max="16" width="5.50390625" style="173" customWidth="1"/>
    <col min="17" max="17" width="5.875" style="0" customWidth="1"/>
    <col min="18" max="18" width="6.625" style="0" customWidth="1"/>
    <col min="19" max="19" width="6.125" style="174" customWidth="1"/>
    <col min="20" max="20" width="6.375" style="20" customWidth="1"/>
    <col min="21" max="21" width="9.00390625" style="0" hidden="1" customWidth="1"/>
    <col min="22" max="22" width="8.375" style="23" customWidth="1"/>
  </cols>
  <sheetData>
    <row r="1" spans="1:22" s="1" customFormat="1" ht="31.5" customHeight="1">
      <c r="A1" s="166" t="s">
        <v>230</v>
      </c>
      <c r="B1" s="24"/>
      <c r="C1" s="166"/>
      <c r="D1" s="2"/>
      <c r="E1" s="2"/>
      <c r="F1" s="3"/>
      <c r="G1" s="2"/>
      <c r="H1" s="2"/>
      <c r="I1" s="2"/>
      <c r="J1" s="2"/>
      <c r="K1" s="4"/>
      <c r="L1" s="4"/>
      <c r="M1" s="5"/>
      <c r="N1" s="4"/>
      <c r="O1" s="6"/>
      <c r="P1" s="167"/>
      <c r="Q1" s="2"/>
      <c r="R1" s="2"/>
      <c r="S1" s="5"/>
      <c r="T1" s="4"/>
      <c r="U1" s="168"/>
      <c r="V1" s="168"/>
    </row>
    <row r="2" spans="1:22" s="184" customFormat="1" ht="16.5" customHeight="1" thickBot="1">
      <c r="A2" s="177"/>
      <c r="B2" s="178"/>
      <c r="C2" s="177"/>
      <c r="D2" s="177"/>
      <c r="E2" s="177"/>
      <c r="F2" s="179"/>
      <c r="G2" s="177"/>
      <c r="H2" s="177"/>
      <c r="I2" s="177"/>
      <c r="J2" s="177"/>
      <c r="K2" s="180"/>
      <c r="L2" s="180"/>
      <c r="M2" s="181"/>
      <c r="N2" s="180"/>
      <c r="O2" s="182"/>
      <c r="P2" s="183"/>
      <c r="Q2" s="177"/>
      <c r="R2" s="177"/>
      <c r="S2" s="181"/>
      <c r="T2" s="180"/>
      <c r="U2" s="178"/>
      <c r="V2" s="178" t="s">
        <v>299</v>
      </c>
    </row>
    <row r="3" spans="1:22" s="8" customFormat="1" ht="21.75" customHeight="1">
      <c r="A3" s="200" t="s">
        <v>231</v>
      </c>
      <c r="B3" s="187" t="s">
        <v>232</v>
      </c>
      <c r="C3" s="187" t="s">
        <v>0</v>
      </c>
      <c r="D3" s="187" t="s">
        <v>233</v>
      </c>
      <c r="E3" s="175" t="s">
        <v>234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99"/>
      <c r="Q3" s="175" t="s">
        <v>235</v>
      </c>
      <c r="R3" s="175"/>
      <c r="S3" s="175"/>
      <c r="T3" s="175"/>
      <c r="U3" s="28"/>
      <c r="V3" s="189" t="s">
        <v>236</v>
      </c>
    </row>
    <row r="4" spans="1:22" s="8" customFormat="1" ht="42.75" customHeight="1">
      <c r="A4" s="201"/>
      <c r="B4" s="188"/>
      <c r="C4" s="198"/>
      <c r="D4" s="188"/>
      <c r="E4" s="9" t="s">
        <v>237</v>
      </c>
      <c r="F4" s="9" t="s">
        <v>238</v>
      </c>
      <c r="G4" s="9" t="s">
        <v>239</v>
      </c>
      <c r="H4" s="9" t="s">
        <v>5</v>
      </c>
      <c r="I4" s="9" t="s">
        <v>5</v>
      </c>
      <c r="J4" s="9" t="s">
        <v>6</v>
      </c>
      <c r="K4" s="10" t="s">
        <v>240</v>
      </c>
      <c r="L4" s="10" t="s">
        <v>241</v>
      </c>
      <c r="M4" s="11" t="s">
        <v>242</v>
      </c>
      <c r="N4" s="10" t="s">
        <v>243</v>
      </c>
      <c r="O4" s="10" t="s">
        <v>244</v>
      </c>
      <c r="P4" s="10" t="s">
        <v>245</v>
      </c>
      <c r="Q4" s="9" t="s">
        <v>246</v>
      </c>
      <c r="R4" s="9" t="s">
        <v>247</v>
      </c>
      <c r="S4" s="11" t="s">
        <v>248</v>
      </c>
      <c r="T4" s="12" t="s">
        <v>249</v>
      </c>
      <c r="U4" s="29"/>
      <c r="V4" s="190"/>
    </row>
    <row r="5" spans="1:22" s="8" customFormat="1" ht="27.75" customHeight="1">
      <c r="A5" s="176" t="s">
        <v>250</v>
      </c>
      <c r="B5" s="169" t="s">
        <v>251</v>
      </c>
      <c r="C5" s="14" t="s">
        <v>252</v>
      </c>
      <c r="D5" s="9" t="s">
        <v>253</v>
      </c>
      <c r="E5" s="14">
        <v>0.5</v>
      </c>
      <c r="F5" s="14">
        <v>0.8</v>
      </c>
      <c r="G5" s="14">
        <v>1.5</v>
      </c>
      <c r="H5" s="14" t="s">
        <v>254</v>
      </c>
      <c r="I5" s="14">
        <f>1/3000</f>
        <v>0.0003333333333333333</v>
      </c>
      <c r="J5" s="14">
        <v>0.025</v>
      </c>
      <c r="K5" s="15">
        <f aca="true" t="shared" si="0" ref="K5:K16">(E5+G5*F5)*F5</f>
        <v>1.3600000000000003</v>
      </c>
      <c r="L5" s="15">
        <f aca="true" t="shared" si="1" ref="L5:L16">E5+2*F5*(1+G5^2)^(1/2)</f>
        <v>3.3844410203711917</v>
      </c>
      <c r="M5" s="16">
        <f aca="true" t="shared" si="2" ref="M5:M16">K5/L5</f>
        <v>0.4018388832347981</v>
      </c>
      <c r="N5" s="15">
        <f aca="true" t="shared" si="3" ref="N5:N16">(1/J5)*M5^(1/6)</f>
        <v>34.36122600565072</v>
      </c>
      <c r="O5" s="17">
        <f aca="true" t="shared" si="4" ref="O5:O16">K5*N5*(M5*I5)^(1/2)</f>
        <v>0.5408451146108021</v>
      </c>
      <c r="P5" s="15">
        <f aca="true" t="shared" si="5" ref="P5:P16">O5/K5</f>
        <v>0.397680231331472</v>
      </c>
      <c r="Q5" s="14">
        <v>0.55</v>
      </c>
      <c r="R5" s="14">
        <v>0.68</v>
      </c>
      <c r="S5" s="170">
        <v>0.575</v>
      </c>
      <c r="T5" s="17">
        <f aca="true" t="shared" si="6" ref="T5:T16">Q5*S5/R5</f>
        <v>0.46507352941176466</v>
      </c>
      <c r="U5" s="25">
        <f aca="true" t="shared" si="7" ref="U5:U16">O5-T5</f>
        <v>0.07577158519903743</v>
      </c>
      <c r="V5" s="13" t="s">
        <v>255</v>
      </c>
    </row>
    <row r="6" spans="1:22" s="8" customFormat="1" ht="27.75" customHeight="1">
      <c r="A6" s="191"/>
      <c r="B6" s="169" t="s">
        <v>256</v>
      </c>
      <c r="C6" s="14" t="s">
        <v>257</v>
      </c>
      <c r="D6" s="9" t="s">
        <v>258</v>
      </c>
      <c r="E6" s="14">
        <v>1</v>
      </c>
      <c r="F6" s="14">
        <v>0.8</v>
      </c>
      <c r="G6" s="14">
        <v>1.5</v>
      </c>
      <c r="H6" s="14" t="s">
        <v>259</v>
      </c>
      <c r="I6" s="14">
        <f>1/5000</f>
        <v>0.0002</v>
      </c>
      <c r="J6" s="14">
        <v>0.025</v>
      </c>
      <c r="K6" s="15">
        <f t="shared" si="0"/>
        <v>1.7600000000000002</v>
      </c>
      <c r="L6" s="15">
        <f t="shared" si="1"/>
        <v>3.8844410203711917</v>
      </c>
      <c r="M6" s="16">
        <f t="shared" si="2"/>
        <v>0.45308964424225373</v>
      </c>
      <c r="N6" s="15">
        <f t="shared" si="3"/>
        <v>35.055595366396744</v>
      </c>
      <c r="O6" s="17">
        <f t="shared" si="4"/>
        <v>0.5873230981594022</v>
      </c>
      <c r="P6" s="15">
        <f t="shared" si="5"/>
        <v>0.3337063057723876</v>
      </c>
      <c r="Q6" s="14">
        <v>0.4</v>
      </c>
      <c r="R6" s="14">
        <v>0.68</v>
      </c>
      <c r="S6" s="170">
        <v>0.575</v>
      </c>
      <c r="T6" s="17">
        <f t="shared" si="6"/>
        <v>0.338235294117647</v>
      </c>
      <c r="U6" s="25">
        <f t="shared" si="7"/>
        <v>0.24908780404175518</v>
      </c>
      <c r="V6" s="13" t="s">
        <v>255</v>
      </c>
    </row>
    <row r="7" spans="1:22" s="8" customFormat="1" ht="27.75" customHeight="1">
      <c r="A7" s="191"/>
      <c r="B7" s="169" t="s">
        <v>260</v>
      </c>
      <c r="C7" s="14" t="s">
        <v>261</v>
      </c>
      <c r="D7" s="9" t="s">
        <v>262</v>
      </c>
      <c r="E7" s="14">
        <v>2</v>
      </c>
      <c r="F7" s="14">
        <v>1</v>
      </c>
      <c r="G7" s="14">
        <v>1.5</v>
      </c>
      <c r="H7" s="14" t="s">
        <v>254</v>
      </c>
      <c r="I7" s="14">
        <f>1/3000</f>
        <v>0.0003333333333333333</v>
      </c>
      <c r="J7" s="14">
        <v>0.025</v>
      </c>
      <c r="K7" s="15">
        <f t="shared" si="0"/>
        <v>3.5</v>
      </c>
      <c r="L7" s="15">
        <f t="shared" si="1"/>
        <v>5.60555127546399</v>
      </c>
      <c r="M7" s="16">
        <f t="shared" si="2"/>
        <v>0.6243810515693291</v>
      </c>
      <c r="N7" s="15">
        <f t="shared" si="3"/>
        <v>36.98011668136968</v>
      </c>
      <c r="O7" s="17">
        <f t="shared" si="4"/>
        <v>1.8672417596827946</v>
      </c>
      <c r="P7" s="15">
        <f t="shared" si="5"/>
        <v>0.5334976456236556</v>
      </c>
      <c r="Q7" s="14">
        <v>0.3</v>
      </c>
      <c r="R7" s="14">
        <v>0.68</v>
      </c>
      <c r="S7" s="170">
        <v>0.575</v>
      </c>
      <c r="T7" s="17">
        <f t="shared" si="6"/>
        <v>0.2536764705882353</v>
      </c>
      <c r="U7" s="25">
        <f t="shared" si="7"/>
        <v>1.6135652890945593</v>
      </c>
      <c r="V7" s="13" t="s">
        <v>255</v>
      </c>
    </row>
    <row r="8" spans="1:22" s="8" customFormat="1" ht="27.75" customHeight="1">
      <c r="A8" s="176" t="s">
        <v>263</v>
      </c>
      <c r="B8" s="169" t="s">
        <v>264</v>
      </c>
      <c r="C8" s="14" t="s">
        <v>265</v>
      </c>
      <c r="D8" s="9" t="s">
        <v>266</v>
      </c>
      <c r="E8" s="14">
        <v>0.8</v>
      </c>
      <c r="F8" s="14">
        <v>1</v>
      </c>
      <c r="G8" s="14">
        <v>1.5</v>
      </c>
      <c r="H8" s="14" t="s">
        <v>254</v>
      </c>
      <c r="I8" s="14">
        <f aca="true" t="shared" si="8" ref="I8:I14">1/3000</f>
        <v>0.0003333333333333333</v>
      </c>
      <c r="J8" s="14">
        <v>0.025</v>
      </c>
      <c r="K8" s="15">
        <f t="shared" si="0"/>
        <v>2.3</v>
      </c>
      <c r="L8" s="15">
        <f t="shared" si="1"/>
        <v>4.405551275463989</v>
      </c>
      <c r="M8" s="16">
        <f t="shared" si="2"/>
        <v>0.5220686030394154</v>
      </c>
      <c r="N8" s="15">
        <f t="shared" si="3"/>
        <v>35.893399048260875</v>
      </c>
      <c r="O8" s="17">
        <f t="shared" si="4"/>
        <v>1.089044394078425</v>
      </c>
      <c r="P8" s="15">
        <f t="shared" si="5"/>
        <v>0.47349756264279347</v>
      </c>
      <c r="Q8" s="14">
        <v>1</v>
      </c>
      <c r="R8" s="14">
        <v>0.68</v>
      </c>
      <c r="S8" s="170">
        <v>0.575</v>
      </c>
      <c r="T8" s="17">
        <f t="shared" si="6"/>
        <v>0.8455882352941175</v>
      </c>
      <c r="U8" s="25">
        <f t="shared" si="7"/>
        <v>0.24345615878430737</v>
      </c>
      <c r="V8" s="13" t="s">
        <v>255</v>
      </c>
    </row>
    <row r="9" spans="1:22" s="8" customFormat="1" ht="27.75" customHeight="1">
      <c r="A9" s="202"/>
      <c r="B9" s="169" t="s">
        <v>267</v>
      </c>
      <c r="C9" s="14" t="s">
        <v>268</v>
      </c>
      <c r="D9" s="9" t="s">
        <v>269</v>
      </c>
      <c r="E9" s="14">
        <v>0.5</v>
      </c>
      <c r="F9" s="14">
        <v>0.8</v>
      </c>
      <c r="G9" s="14">
        <v>1.5</v>
      </c>
      <c r="H9" s="14" t="s">
        <v>254</v>
      </c>
      <c r="I9" s="14">
        <f t="shared" si="8"/>
        <v>0.0003333333333333333</v>
      </c>
      <c r="J9" s="14">
        <v>0.025</v>
      </c>
      <c r="K9" s="15">
        <f t="shared" si="0"/>
        <v>1.3600000000000003</v>
      </c>
      <c r="L9" s="15">
        <f t="shared" si="1"/>
        <v>3.3844410203711917</v>
      </c>
      <c r="M9" s="16">
        <f t="shared" si="2"/>
        <v>0.4018388832347981</v>
      </c>
      <c r="N9" s="15">
        <f t="shared" si="3"/>
        <v>34.36122600565072</v>
      </c>
      <c r="O9" s="17">
        <f t="shared" si="4"/>
        <v>0.5408451146108021</v>
      </c>
      <c r="P9" s="15">
        <f t="shared" si="5"/>
        <v>0.397680231331472</v>
      </c>
      <c r="Q9" s="15">
        <v>0.5</v>
      </c>
      <c r="R9" s="14">
        <v>0.68</v>
      </c>
      <c r="S9" s="170">
        <v>0.575</v>
      </c>
      <c r="T9" s="17">
        <f t="shared" si="6"/>
        <v>0.42279411764705876</v>
      </c>
      <c r="U9" s="25">
        <f t="shared" si="7"/>
        <v>0.11805099696374333</v>
      </c>
      <c r="V9" s="13" t="s">
        <v>255</v>
      </c>
    </row>
    <row r="10" spans="1:22" s="8" customFormat="1" ht="27.75" customHeight="1">
      <c r="A10" s="202"/>
      <c r="B10" s="169" t="s">
        <v>270</v>
      </c>
      <c r="C10" s="14" t="s">
        <v>271</v>
      </c>
      <c r="D10" s="9" t="s">
        <v>272</v>
      </c>
      <c r="E10" s="14">
        <v>0.7</v>
      </c>
      <c r="F10" s="14">
        <v>0.8</v>
      </c>
      <c r="G10" s="14">
        <v>1.5</v>
      </c>
      <c r="H10" s="14" t="s">
        <v>254</v>
      </c>
      <c r="I10" s="14">
        <f t="shared" si="8"/>
        <v>0.0003333333333333333</v>
      </c>
      <c r="J10" s="14">
        <v>0.025</v>
      </c>
      <c r="K10" s="15">
        <f t="shared" si="0"/>
        <v>1.5200000000000002</v>
      </c>
      <c r="L10" s="15">
        <f t="shared" si="1"/>
        <v>3.584441020371192</v>
      </c>
      <c r="M10" s="16">
        <f t="shared" si="2"/>
        <v>0.42405496180896696</v>
      </c>
      <c r="N10" s="15">
        <f t="shared" si="3"/>
        <v>34.67078563837594</v>
      </c>
      <c r="O10" s="17">
        <f t="shared" si="4"/>
        <v>0.626552861892155</v>
      </c>
      <c r="P10" s="15">
        <f t="shared" si="5"/>
        <v>0.41220583019220713</v>
      </c>
      <c r="Q10" s="14">
        <v>0.7</v>
      </c>
      <c r="R10" s="14">
        <v>0.68</v>
      </c>
      <c r="S10" s="170">
        <v>0.575</v>
      </c>
      <c r="T10" s="17">
        <f t="shared" si="6"/>
        <v>0.5919117647058822</v>
      </c>
      <c r="U10" s="25">
        <f t="shared" si="7"/>
        <v>0.03464109718627273</v>
      </c>
      <c r="V10" s="13" t="s">
        <v>255</v>
      </c>
    </row>
    <row r="11" spans="1:22" s="8" customFormat="1" ht="27.75" customHeight="1">
      <c r="A11" s="176" t="s">
        <v>273</v>
      </c>
      <c r="B11" s="169" t="s">
        <v>274</v>
      </c>
      <c r="C11" s="14" t="s">
        <v>275</v>
      </c>
      <c r="D11" s="9" t="s">
        <v>276</v>
      </c>
      <c r="E11" s="14">
        <v>0.6</v>
      </c>
      <c r="F11" s="14">
        <v>0.5</v>
      </c>
      <c r="G11" s="14">
        <v>1.5</v>
      </c>
      <c r="H11" s="14" t="s">
        <v>254</v>
      </c>
      <c r="I11" s="14">
        <f t="shared" si="8"/>
        <v>0.0003333333333333333</v>
      </c>
      <c r="J11" s="14">
        <v>0.025</v>
      </c>
      <c r="K11" s="15">
        <f t="shared" si="0"/>
        <v>0.675</v>
      </c>
      <c r="L11" s="15">
        <f t="shared" si="1"/>
        <v>2.4027756377319944</v>
      </c>
      <c r="M11" s="16">
        <f t="shared" si="2"/>
        <v>0.2809251056986493</v>
      </c>
      <c r="N11" s="15">
        <f t="shared" si="3"/>
        <v>32.37117151371898</v>
      </c>
      <c r="O11" s="17">
        <f t="shared" si="4"/>
        <v>0.21144471704811243</v>
      </c>
      <c r="P11" s="15">
        <f t="shared" si="5"/>
        <v>0.31325143266387023</v>
      </c>
      <c r="Q11" s="14">
        <v>0.12</v>
      </c>
      <c r="R11" s="14">
        <v>0.68</v>
      </c>
      <c r="S11" s="170">
        <v>0.575</v>
      </c>
      <c r="T11" s="17">
        <f t="shared" si="6"/>
        <v>0.1014705882352941</v>
      </c>
      <c r="U11" s="25">
        <f t="shared" si="7"/>
        <v>0.10997412881281833</v>
      </c>
      <c r="V11" s="13" t="s">
        <v>255</v>
      </c>
    </row>
    <row r="12" spans="1:22" s="8" customFormat="1" ht="27.75" customHeight="1">
      <c r="A12" s="202"/>
      <c r="B12" s="169" t="s">
        <v>277</v>
      </c>
      <c r="C12" s="14" t="s">
        <v>278</v>
      </c>
      <c r="D12" s="9" t="s">
        <v>279</v>
      </c>
      <c r="E12" s="14">
        <v>1</v>
      </c>
      <c r="F12" s="14">
        <v>0.7</v>
      </c>
      <c r="G12" s="14">
        <v>1.5</v>
      </c>
      <c r="H12" s="14" t="s">
        <v>254</v>
      </c>
      <c r="I12" s="14">
        <f t="shared" si="8"/>
        <v>0.0003333333333333333</v>
      </c>
      <c r="J12" s="14">
        <v>0.025</v>
      </c>
      <c r="K12" s="15">
        <f t="shared" si="0"/>
        <v>1.4349999999999998</v>
      </c>
      <c r="L12" s="15">
        <f t="shared" si="1"/>
        <v>3.5238858928247923</v>
      </c>
      <c r="M12" s="16">
        <f t="shared" si="2"/>
        <v>0.4072209043209641</v>
      </c>
      <c r="N12" s="15">
        <f t="shared" si="3"/>
        <v>34.437504160523076</v>
      </c>
      <c r="O12" s="17">
        <f t="shared" si="4"/>
        <v>0.5757553396646679</v>
      </c>
      <c r="P12" s="15">
        <f t="shared" si="5"/>
        <v>0.40122323321579645</v>
      </c>
      <c r="Q12" s="15">
        <v>0.4</v>
      </c>
      <c r="R12" s="14">
        <v>0.68</v>
      </c>
      <c r="S12" s="170">
        <v>0.575</v>
      </c>
      <c r="T12" s="17">
        <f t="shared" si="6"/>
        <v>0.338235294117647</v>
      </c>
      <c r="U12" s="25">
        <f t="shared" si="7"/>
        <v>0.23752004554702083</v>
      </c>
      <c r="V12" s="13" t="s">
        <v>255</v>
      </c>
    </row>
    <row r="13" spans="1:22" s="8" customFormat="1" ht="27.75" customHeight="1">
      <c r="A13" s="202"/>
      <c r="B13" s="169" t="s">
        <v>280</v>
      </c>
      <c r="C13" s="14" t="s">
        <v>281</v>
      </c>
      <c r="D13" s="9" t="s">
        <v>282</v>
      </c>
      <c r="E13" s="14">
        <v>1</v>
      </c>
      <c r="F13" s="14">
        <v>0.7</v>
      </c>
      <c r="G13" s="14">
        <v>1.5</v>
      </c>
      <c r="H13" s="14" t="s">
        <v>254</v>
      </c>
      <c r="I13" s="14">
        <f t="shared" si="8"/>
        <v>0.0003333333333333333</v>
      </c>
      <c r="J13" s="14">
        <v>0.025</v>
      </c>
      <c r="K13" s="15">
        <f t="shared" si="0"/>
        <v>1.4349999999999998</v>
      </c>
      <c r="L13" s="15">
        <f t="shared" si="1"/>
        <v>3.5238858928247923</v>
      </c>
      <c r="M13" s="16">
        <f t="shared" si="2"/>
        <v>0.4072209043209641</v>
      </c>
      <c r="N13" s="15">
        <f t="shared" si="3"/>
        <v>34.437504160523076</v>
      </c>
      <c r="O13" s="17">
        <f t="shared" si="4"/>
        <v>0.5757553396646679</v>
      </c>
      <c r="P13" s="15">
        <f t="shared" si="5"/>
        <v>0.40122323321579645</v>
      </c>
      <c r="Q13" s="15">
        <v>0.4</v>
      </c>
      <c r="R13" s="14">
        <v>0.68</v>
      </c>
      <c r="S13" s="170">
        <v>0.575</v>
      </c>
      <c r="T13" s="17">
        <f t="shared" si="6"/>
        <v>0.338235294117647</v>
      </c>
      <c r="U13" s="25">
        <f t="shared" si="7"/>
        <v>0.23752004554702083</v>
      </c>
      <c r="V13" s="13" t="s">
        <v>255</v>
      </c>
    </row>
    <row r="14" spans="1:22" s="8" customFormat="1" ht="27.75" customHeight="1">
      <c r="A14" s="203"/>
      <c r="B14" s="169" t="s">
        <v>283</v>
      </c>
      <c r="C14" s="14" t="s">
        <v>284</v>
      </c>
      <c r="D14" s="9" t="s">
        <v>285</v>
      </c>
      <c r="E14" s="14">
        <v>0.8</v>
      </c>
      <c r="F14" s="14">
        <v>0.6</v>
      </c>
      <c r="G14" s="14">
        <v>1.5</v>
      </c>
      <c r="H14" s="14" t="s">
        <v>254</v>
      </c>
      <c r="I14" s="14">
        <f t="shared" si="8"/>
        <v>0.0003333333333333333</v>
      </c>
      <c r="J14" s="14">
        <v>0.025</v>
      </c>
      <c r="K14" s="15">
        <f t="shared" si="0"/>
        <v>1.02</v>
      </c>
      <c r="L14" s="15">
        <f t="shared" si="1"/>
        <v>2.9633307652783936</v>
      </c>
      <c r="M14" s="16">
        <f t="shared" si="2"/>
        <v>0.3442072724217726</v>
      </c>
      <c r="N14" s="15">
        <f t="shared" si="3"/>
        <v>33.48600452913013</v>
      </c>
      <c r="O14" s="17">
        <f t="shared" si="4"/>
        <v>0.36585828730481856</v>
      </c>
      <c r="P14" s="15">
        <f t="shared" si="5"/>
        <v>0.3586845953968809</v>
      </c>
      <c r="Q14" s="14">
        <v>0.27</v>
      </c>
      <c r="R14" s="14">
        <v>0.68</v>
      </c>
      <c r="S14" s="170">
        <v>0.575</v>
      </c>
      <c r="T14" s="17">
        <f t="shared" si="6"/>
        <v>0.22830882352941176</v>
      </c>
      <c r="U14" s="25">
        <f t="shared" si="7"/>
        <v>0.1375494637754068</v>
      </c>
      <c r="V14" s="13" t="s">
        <v>255</v>
      </c>
    </row>
    <row r="15" spans="1:22" s="8" customFormat="1" ht="27.75" customHeight="1">
      <c r="A15" s="203"/>
      <c r="B15" s="169" t="s">
        <v>286</v>
      </c>
      <c r="C15" s="14" t="s">
        <v>287</v>
      </c>
      <c r="D15" s="9" t="s">
        <v>288</v>
      </c>
      <c r="E15" s="14">
        <v>0.5</v>
      </c>
      <c r="F15" s="14">
        <v>0.5</v>
      </c>
      <c r="G15" s="14">
        <v>1.5</v>
      </c>
      <c r="H15" s="14" t="s">
        <v>254</v>
      </c>
      <c r="I15" s="14">
        <f>1/3000</f>
        <v>0.0003333333333333333</v>
      </c>
      <c r="J15" s="14">
        <v>0.025</v>
      </c>
      <c r="K15" s="15">
        <f t="shared" si="0"/>
        <v>0.625</v>
      </c>
      <c r="L15" s="15">
        <f t="shared" si="1"/>
        <v>2.302775637731995</v>
      </c>
      <c r="M15" s="16">
        <f t="shared" si="2"/>
        <v>0.2714115911941655</v>
      </c>
      <c r="N15" s="15">
        <f t="shared" si="3"/>
        <v>32.18583074879581</v>
      </c>
      <c r="O15" s="17">
        <f t="shared" si="4"/>
        <v>0.19133671294284185</v>
      </c>
      <c r="P15" s="15">
        <f t="shared" si="5"/>
        <v>0.30613874070854696</v>
      </c>
      <c r="Q15" s="14">
        <v>0.18</v>
      </c>
      <c r="R15" s="14">
        <v>0.68</v>
      </c>
      <c r="S15" s="170">
        <v>0.575</v>
      </c>
      <c r="T15" s="17">
        <f t="shared" si="6"/>
        <v>0.15220588235294116</v>
      </c>
      <c r="U15" s="25">
        <f t="shared" si="7"/>
        <v>0.03913083058990069</v>
      </c>
      <c r="V15" s="13" t="s">
        <v>255</v>
      </c>
    </row>
    <row r="16" spans="1:22" s="8" customFormat="1" ht="27.75" customHeight="1" thickBot="1">
      <c r="A16" s="204"/>
      <c r="B16" s="171" t="s">
        <v>289</v>
      </c>
      <c r="C16" s="30" t="s">
        <v>290</v>
      </c>
      <c r="D16" s="172" t="s">
        <v>291</v>
      </c>
      <c r="E16" s="30">
        <v>1.5</v>
      </c>
      <c r="F16" s="30">
        <v>0.7</v>
      </c>
      <c r="G16" s="30">
        <v>1.5</v>
      </c>
      <c r="H16" s="30" t="s">
        <v>292</v>
      </c>
      <c r="I16" s="30">
        <f>1/5000</f>
        <v>0.0002</v>
      </c>
      <c r="J16" s="30">
        <v>0.025</v>
      </c>
      <c r="K16" s="31">
        <f t="shared" si="0"/>
        <v>1.7849999999999997</v>
      </c>
      <c r="L16" s="31">
        <f t="shared" si="1"/>
        <v>4.023885892824792</v>
      </c>
      <c r="M16" s="32">
        <f t="shared" si="2"/>
        <v>0.4436010482262754</v>
      </c>
      <c r="N16" s="31">
        <f t="shared" si="3"/>
        <v>34.9321582240652</v>
      </c>
      <c r="O16" s="33">
        <f t="shared" si="4"/>
        <v>0.5873201739553336</v>
      </c>
      <c r="P16" s="31">
        <f t="shared" si="5"/>
        <v>0.3290309097788985</v>
      </c>
      <c r="Q16" s="30">
        <v>0.53</v>
      </c>
      <c r="R16" s="30">
        <v>0.68</v>
      </c>
      <c r="S16" s="30">
        <v>0.575</v>
      </c>
      <c r="T16" s="33">
        <f t="shared" si="6"/>
        <v>0.44816176470588226</v>
      </c>
      <c r="U16" s="35">
        <f t="shared" si="7"/>
        <v>0.1391584092494514</v>
      </c>
      <c r="V16" s="36" t="s">
        <v>293</v>
      </c>
    </row>
  </sheetData>
  <mergeCells count="10">
    <mergeCell ref="A3:A4"/>
    <mergeCell ref="A5:A7"/>
    <mergeCell ref="A8:A10"/>
    <mergeCell ref="A11:A16"/>
    <mergeCell ref="C3:C4"/>
    <mergeCell ref="E3:P3"/>
    <mergeCell ref="V3:V4"/>
    <mergeCell ref="B3:B4"/>
    <mergeCell ref="Q3:T3"/>
    <mergeCell ref="D3:D4"/>
  </mergeCells>
  <printOptions horizontalCentered="1" verticalCentered="1"/>
  <pageMargins left="0.9448818897637796" right="0.7480314960629921" top="0.984251968503937" bottom="0.787401574803149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A31">
      <selection activeCell="D36" sqref="D36"/>
    </sheetView>
  </sheetViews>
  <sheetFormatPr defaultColWidth="9.00390625" defaultRowHeight="27.75" customHeight="1"/>
  <cols>
    <col min="1" max="1" width="2.75390625" style="127" customWidth="1"/>
    <col min="2" max="2" width="4.00390625" style="127" customWidth="1"/>
    <col min="3" max="3" width="5.625" style="127" customWidth="1"/>
    <col min="4" max="4" width="5.50390625" style="127" customWidth="1"/>
    <col min="5" max="6" width="3.375" style="140" customWidth="1"/>
    <col min="7" max="7" width="4.125" style="141" customWidth="1"/>
    <col min="8" max="8" width="4.75390625" style="141" customWidth="1"/>
    <col min="9" max="10" width="5.625" style="112" customWidth="1"/>
    <col min="11" max="11" width="6.125" style="122" customWidth="1"/>
    <col min="12" max="12" width="6.00390625" style="142" customWidth="1"/>
    <col min="13" max="13" width="5.25390625" style="143" hidden="1" customWidth="1"/>
    <col min="14" max="14" width="4.625" style="144" customWidth="1"/>
    <col min="15" max="15" width="4.75390625" style="112" customWidth="1"/>
    <col min="16" max="16" width="5.375" style="112" customWidth="1"/>
    <col min="17" max="17" width="4.50390625" style="112" customWidth="1"/>
    <col min="18" max="18" width="5.375" style="143" customWidth="1"/>
    <col min="19" max="19" width="7.00390625" style="112" customWidth="1"/>
    <col min="20" max="20" width="7.25390625" style="145" customWidth="1"/>
    <col min="21" max="21" width="6.125" style="127" customWidth="1"/>
    <col min="22" max="22" width="6.125" style="146" customWidth="1"/>
    <col min="23" max="23" width="5.875" style="147" customWidth="1"/>
    <col min="24" max="24" width="9.375" style="127" hidden="1" customWidth="1"/>
    <col min="25" max="25" width="5.50390625" style="148" customWidth="1"/>
    <col min="26" max="16384" width="9.00390625" style="127" customWidth="1"/>
  </cols>
  <sheetData>
    <row r="1" spans="1:25" s="98" customFormat="1" ht="27.75" customHeight="1">
      <c r="A1" s="205" t="s">
        <v>143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</row>
    <row r="2" spans="1:25" s="98" customFormat="1" ht="16.5" customHeight="1" thickBot="1">
      <c r="A2" s="99"/>
      <c r="B2" s="99"/>
      <c r="C2" s="99"/>
      <c r="D2" s="100"/>
      <c r="E2" s="101"/>
      <c r="F2" s="101"/>
      <c r="G2" s="102"/>
      <c r="H2" s="102"/>
      <c r="I2" s="103"/>
      <c r="J2" s="103"/>
      <c r="K2" s="104"/>
      <c r="L2" s="105"/>
      <c r="M2" s="105"/>
      <c r="N2" s="103"/>
      <c r="O2" s="103"/>
      <c r="P2" s="103"/>
      <c r="Q2" s="103"/>
      <c r="R2" s="105"/>
      <c r="S2" s="103"/>
      <c r="T2" s="106"/>
      <c r="U2" s="107"/>
      <c r="V2" s="108" t="s">
        <v>295</v>
      </c>
      <c r="W2" s="109"/>
      <c r="X2" s="110"/>
      <c r="Y2" s="110"/>
    </row>
    <row r="3" spans="1:25" s="112" customFormat="1" ht="27.75" customHeight="1">
      <c r="A3" s="217" t="s">
        <v>127</v>
      </c>
      <c r="B3" s="215" t="s">
        <v>128</v>
      </c>
      <c r="C3" s="215" t="s">
        <v>129</v>
      </c>
      <c r="D3" s="219" t="s">
        <v>0</v>
      </c>
      <c r="E3" s="219" t="s">
        <v>144</v>
      </c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 t="s">
        <v>145</v>
      </c>
      <c r="U3" s="219"/>
      <c r="V3" s="219"/>
      <c r="W3" s="219"/>
      <c r="X3" s="111"/>
      <c r="Y3" s="213" t="s">
        <v>130</v>
      </c>
    </row>
    <row r="4" spans="1:25" s="112" customFormat="1" ht="42" customHeight="1">
      <c r="A4" s="218"/>
      <c r="B4" s="216"/>
      <c r="C4" s="216"/>
      <c r="D4" s="220"/>
      <c r="E4" s="73" t="s">
        <v>93</v>
      </c>
      <c r="F4" s="61" t="s">
        <v>131</v>
      </c>
      <c r="G4" s="61" t="s">
        <v>132</v>
      </c>
      <c r="H4" s="61" t="s">
        <v>133</v>
      </c>
      <c r="I4" s="73" t="s">
        <v>134</v>
      </c>
      <c r="J4" s="73" t="s">
        <v>135</v>
      </c>
      <c r="K4" s="59" t="s">
        <v>136</v>
      </c>
      <c r="L4" s="63" t="s">
        <v>137</v>
      </c>
      <c r="M4" s="63" t="s">
        <v>138</v>
      </c>
      <c r="N4" s="73" t="s">
        <v>139</v>
      </c>
      <c r="O4" s="73" t="s">
        <v>140</v>
      </c>
      <c r="P4" s="73" t="s">
        <v>146</v>
      </c>
      <c r="Q4" s="73" t="s">
        <v>141</v>
      </c>
      <c r="R4" s="63" t="s">
        <v>147</v>
      </c>
      <c r="S4" s="73" t="s">
        <v>148</v>
      </c>
      <c r="T4" s="63" t="s">
        <v>142</v>
      </c>
      <c r="U4" s="73" t="s">
        <v>149</v>
      </c>
      <c r="V4" s="114" t="s">
        <v>150</v>
      </c>
      <c r="W4" s="115" t="s">
        <v>151</v>
      </c>
      <c r="X4" s="113"/>
      <c r="Y4" s="214"/>
    </row>
    <row r="5" spans="1:26" s="112" customFormat="1" ht="28.5" customHeight="1">
      <c r="A5" s="116" t="s">
        <v>152</v>
      </c>
      <c r="B5" s="117" t="s">
        <v>153</v>
      </c>
      <c r="C5" s="118" t="s">
        <v>154</v>
      </c>
      <c r="D5" s="119" t="s">
        <v>155</v>
      </c>
      <c r="E5" s="69">
        <v>1</v>
      </c>
      <c r="F5" s="69"/>
      <c r="G5" s="61">
        <v>1.2</v>
      </c>
      <c r="H5" s="61">
        <v>1.8</v>
      </c>
      <c r="I5" s="62">
        <v>61</v>
      </c>
      <c r="J5" s="62">
        <f>L5+O5</f>
        <v>53.25</v>
      </c>
      <c r="K5" s="59">
        <v>51.5</v>
      </c>
      <c r="L5" s="63">
        <v>51.5</v>
      </c>
      <c r="M5" s="76">
        <f>MIN(H5,O5)</f>
        <v>1.75</v>
      </c>
      <c r="N5" s="59">
        <f>I5-J5</f>
        <v>7.75</v>
      </c>
      <c r="O5" s="73">
        <v>1.75</v>
      </c>
      <c r="P5" s="73">
        <v>0.33</v>
      </c>
      <c r="Q5" s="73"/>
      <c r="R5" s="63">
        <f aca="true" t="shared" si="0" ref="R5:R28">I5-J5</f>
        <v>7.75</v>
      </c>
      <c r="S5" s="120">
        <f>E5*G5*H5*P5*(2*9.8*R5)^(1/2)</f>
        <v>8.78509734129338</v>
      </c>
      <c r="T5" s="63">
        <v>7.72</v>
      </c>
      <c r="U5" s="73">
        <v>0.65</v>
      </c>
      <c r="V5" s="73">
        <v>0.575</v>
      </c>
      <c r="W5" s="120">
        <f>T5*V5/U5</f>
        <v>6.829230769230768</v>
      </c>
      <c r="X5" s="74">
        <f>S5-W5</f>
        <v>1.9558665720626118</v>
      </c>
      <c r="Y5" s="121" t="s">
        <v>156</v>
      </c>
      <c r="Z5" s="122"/>
    </row>
    <row r="6" spans="1:26" s="112" customFormat="1" ht="27.75" customHeight="1">
      <c r="A6" s="116" t="s">
        <v>157</v>
      </c>
      <c r="B6" s="207" t="s">
        <v>158</v>
      </c>
      <c r="C6" s="208"/>
      <c r="D6" s="119"/>
      <c r="E6" s="69"/>
      <c r="F6" s="69"/>
      <c r="G6" s="61"/>
      <c r="H6" s="61"/>
      <c r="I6" s="73"/>
      <c r="J6" s="73"/>
      <c r="K6" s="59"/>
      <c r="L6" s="63"/>
      <c r="M6" s="76"/>
      <c r="N6" s="73"/>
      <c r="O6" s="73"/>
      <c r="P6" s="73"/>
      <c r="Q6" s="73"/>
      <c r="R6" s="63"/>
      <c r="S6" s="120"/>
      <c r="T6" s="63"/>
      <c r="U6" s="73"/>
      <c r="V6" s="123"/>
      <c r="W6" s="120"/>
      <c r="X6" s="74"/>
      <c r="Y6" s="121"/>
      <c r="Z6" s="122"/>
    </row>
    <row r="7" spans="1:26" s="112" customFormat="1" ht="27.75" customHeight="1">
      <c r="A7" s="124">
        <v>1</v>
      </c>
      <c r="B7" s="209" t="s">
        <v>159</v>
      </c>
      <c r="C7" s="73" t="s">
        <v>160</v>
      </c>
      <c r="D7" s="119" t="s">
        <v>161</v>
      </c>
      <c r="E7" s="69">
        <v>1</v>
      </c>
      <c r="F7" s="69"/>
      <c r="G7" s="61">
        <v>2</v>
      </c>
      <c r="H7" s="61">
        <v>2</v>
      </c>
      <c r="I7" s="62">
        <f>K7+N7</f>
        <v>52.44</v>
      </c>
      <c r="J7" s="62">
        <f>L7+O7</f>
        <v>52.29</v>
      </c>
      <c r="K7" s="59">
        <v>50.64</v>
      </c>
      <c r="L7" s="59">
        <v>50.64</v>
      </c>
      <c r="M7" s="76"/>
      <c r="N7" s="73">
        <v>1.8</v>
      </c>
      <c r="O7" s="73">
        <f>N7-0.15</f>
        <v>1.6500000000000001</v>
      </c>
      <c r="P7" s="73"/>
      <c r="Q7" s="73">
        <v>0.92</v>
      </c>
      <c r="R7" s="63">
        <f t="shared" si="0"/>
        <v>0.14999999999999858</v>
      </c>
      <c r="S7" s="120">
        <f aca="true" t="shared" si="1" ref="S7:S13">E7*G7*H7*Q7*(2*9.8*R7)^(1/2)</f>
        <v>6.309885577409438</v>
      </c>
      <c r="T7" s="63">
        <v>6.77</v>
      </c>
      <c r="U7" s="73">
        <v>0.65</v>
      </c>
      <c r="V7" s="73">
        <v>0.575</v>
      </c>
      <c r="W7" s="120">
        <f aca="true" t="shared" si="2" ref="W7:W13">T7*V7/U7</f>
        <v>5.988846153846153</v>
      </c>
      <c r="X7" s="74">
        <f aca="true" t="shared" si="3" ref="X7:X13">S7-W7</f>
        <v>0.32103942356328474</v>
      </c>
      <c r="Y7" s="121" t="s">
        <v>156</v>
      </c>
      <c r="Z7" s="122"/>
    </row>
    <row r="8" spans="1:26" s="112" customFormat="1" ht="27.75" customHeight="1">
      <c r="A8" s="124">
        <v>2</v>
      </c>
      <c r="B8" s="209"/>
      <c r="C8" s="73" t="s">
        <v>162</v>
      </c>
      <c r="D8" s="119" t="s">
        <v>163</v>
      </c>
      <c r="E8" s="69">
        <v>1</v>
      </c>
      <c r="F8" s="69"/>
      <c r="G8" s="70">
        <v>2</v>
      </c>
      <c r="H8" s="71">
        <v>2</v>
      </c>
      <c r="I8" s="62">
        <f aca="true" t="shared" si="4" ref="I8:I13">K8+N8</f>
        <v>51.66</v>
      </c>
      <c r="J8" s="62">
        <f aca="true" t="shared" si="5" ref="J8:J13">L8+O8</f>
        <v>51.51</v>
      </c>
      <c r="K8" s="62">
        <v>50.11</v>
      </c>
      <c r="L8" s="62">
        <v>50.11</v>
      </c>
      <c r="M8" s="76"/>
      <c r="N8" s="119">
        <v>1.55</v>
      </c>
      <c r="O8" s="73">
        <f aca="true" t="shared" si="6" ref="O8:O13">N8-0.15</f>
        <v>1.4000000000000001</v>
      </c>
      <c r="P8" s="73"/>
      <c r="Q8" s="73">
        <v>0.92</v>
      </c>
      <c r="R8" s="63">
        <f>I8-J8</f>
        <v>0.14999999999999858</v>
      </c>
      <c r="S8" s="120">
        <f t="shared" si="1"/>
        <v>6.309885577409438</v>
      </c>
      <c r="T8" s="63">
        <v>6.47</v>
      </c>
      <c r="U8" s="73">
        <v>0.65</v>
      </c>
      <c r="V8" s="73">
        <v>0.575</v>
      </c>
      <c r="W8" s="120">
        <f t="shared" si="2"/>
        <v>5.723461538461538</v>
      </c>
      <c r="X8" s="74">
        <f t="shared" si="3"/>
        <v>0.5864240389479001</v>
      </c>
      <c r="Y8" s="121" t="s">
        <v>156</v>
      </c>
      <c r="Z8" s="122"/>
    </row>
    <row r="9" spans="1:26" s="112" customFormat="1" ht="27.75" customHeight="1">
      <c r="A9" s="124">
        <v>3</v>
      </c>
      <c r="B9" s="209" t="s">
        <v>164</v>
      </c>
      <c r="C9" s="73" t="s">
        <v>165</v>
      </c>
      <c r="D9" s="119" t="s">
        <v>166</v>
      </c>
      <c r="E9" s="69">
        <v>1</v>
      </c>
      <c r="F9" s="69"/>
      <c r="G9" s="70">
        <v>1.5</v>
      </c>
      <c r="H9" s="71">
        <v>2</v>
      </c>
      <c r="I9" s="62">
        <f t="shared" si="4"/>
        <v>52.009</v>
      </c>
      <c r="J9" s="62">
        <f t="shared" si="5"/>
        <v>51.859</v>
      </c>
      <c r="K9" s="62">
        <v>50.359</v>
      </c>
      <c r="L9" s="62">
        <v>50.359</v>
      </c>
      <c r="M9" s="76"/>
      <c r="N9" s="119">
        <v>1.65</v>
      </c>
      <c r="O9" s="73">
        <f t="shared" si="6"/>
        <v>1.5</v>
      </c>
      <c r="P9" s="73"/>
      <c r="Q9" s="73">
        <v>0.92</v>
      </c>
      <c r="R9" s="63">
        <f>I9-J9</f>
        <v>0.14999999999999858</v>
      </c>
      <c r="S9" s="120">
        <f t="shared" si="1"/>
        <v>4.732414183057078</v>
      </c>
      <c r="T9" s="63">
        <v>3.06</v>
      </c>
      <c r="U9" s="73">
        <v>0.65</v>
      </c>
      <c r="V9" s="73">
        <v>0.575</v>
      </c>
      <c r="W9" s="120">
        <f t="shared" si="2"/>
        <v>2.7069230769230765</v>
      </c>
      <c r="X9" s="74">
        <f t="shared" si="3"/>
        <v>2.0254911061340017</v>
      </c>
      <c r="Y9" s="121" t="s">
        <v>156</v>
      </c>
      <c r="Z9" s="122"/>
    </row>
    <row r="10" spans="1:26" s="112" customFormat="1" ht="27.75" customHeight="1">
      <c r="A10" s="124">
        <v>4</v>
      </c>
      <c r="B10" s="209"/>
      <c r="C10" s="73" t="s">
        <v>167</v>
      </c>
      <c r="D10" s="119" t="s">
        <v>168</v>
      </c>
      <c r="E10" s="69">
        <v>1</v>
      </c>
      <c r="F10" s="69"/>
      <c r="G10" s="70">
        <v>1.5</v>
      </c>
      <c r="H10" s="70">
        <v>1.5</v>
      </c>
      <c r="I10" s="62">
        <f t="shared" si="4"/>
        <v>44.6</v>
      </c>
      <c r="J10" s="62">
        <f t="shared" si="5"/>
        <v>44.449999999999996</v>
      </c>
      <c r="K10" s="59">
        <v>43.4</v>
      </c>
      <c r="L10" s="59">
        <v>43.4</v>
      </c>
      <c r="M10" s="76"/>
      <c r="N10" s="73">
        <v>1.2</v>
      </c>
      <c r="O10" s="73">
        <f t="shared" si="6"/>
        <v>1.05</v>
      </c>
      <c r="P10" s="73"/>
      <c r="Q10" s="73">
        <v>0.92</v>
      </c>
      <c r="R10" s="63">
        <f t="shared" si="0"/>
        <v>0.15000000000000568</v>
      </c>
      <c r="S10" s="120">
        <f t="shared" si="1"/>
        <v>3.5493106372928924</v>
      </c>
      <c r="T10" s="63">
        <v>1.2</v>
      </c>
      <c r="U10" s="73">
        <v>0.65</v>
      </c>
      <c r="V10" s="73">
        <v>0.575</v>
      </c>
      <c r="W10" s="120">
        <f t="shared" si="2"/>
        <v>1.0615384615384613</v>
      </c>
      <c r="X10" s="74">
        <f t="shared" si="3"/>
        <v>2.487772175754431</v>
      </c>
      <c r="Y10" s="121" t="s">
        <v>156</v>
      </c>
      <c r="Z10" s="122"/>
    </row>
    <row r="11" spans="1:26" s="112" customFormat="1" ht="27.75" customHeight="1">
      <c r="A11" s="124">
        <v>5</v>
      </c>
      <c r="B11" s="209"/>
      <c r="C11" s="73" t="s">
        <v>169</v>
      </c>
      <c r="D11" s="119" t="s">
        <v>51</v>
      </c>
      <c r="E11" s="69">
        <v>1</v>
      </c>
      <c r="F11" s="69"/>
      <c r="G11" s="61">
        <v>1.5</v>
      </c>
      <c r="H11" s="70">
        <v>1.5</v>
      </c>
      <c r="I11" s="62">
        <f t="shared" si="4"/>
        <v>42.559999999999995</v>
      </c>
      <c r="J11" s="62">
        <f t="shared" si="5"/>
        <v>42.41</v>
      </c>
      <c r="K11" s="59">
        <v>41.66</v>
      </c>
      <c r="L11" s="59">
        <v>41.66</v>
      </c>
      <c r="M11" s="76"/>
      <c r="N11" s="73">
        <v>0.9</v>
      </c>
      <c r="O11" s="73">
        <f t="shared" si="6"/>
        <v>0.75</v>
      </c>
      <c r="P11" s="73"/>
      <c r="Q11" s="73">
        <v>0.92</v>
      </c>
      <c r="R11" s="63">
        <f t="shared" si="0"/>
        <v>0.14999999999999858</v>
      </c>
      <c r="S11" s="120">
        <f t="shared" si="1"/>
        <v>3.549310637292809</v>
      </c>
      <c r="T11" s="63">
        <v>0.7</v>
      </c>
      <c r="U11" s="73">
        <v>0.65</v>
      </c>
      <c r="V11" s="73">
        <v>0.575</v>
      </c>
      <c r="W11" s="120">
        <f t="shared" si="2"/>
        <v>0.6192307692307691</v>
      </c>
      <c r="X11" s="74">
        <f t="shared" si="3"/>
        <v>2.9300798680620397</v>
      </c>
      <c r="Y11" s="121" t="s">
        <v>156</v>
      </c>
      <c r="Z11" s="122"/>
    </row>
    <row r="12" spans="1:26" s="112" customFormat="1" ht="27.75" customHeight="1">
      <c r="A12" s="124">
        <v>6</v>
      </c>
      <c r="B12" s="210" t="s">
        <v>170</v>
      </c>
      <c r="C12" s="73" t="s">
        <v>171</v>
      </c>
      <c r="D12" s="119" t="s">
        <v>172</v>
      </c>
      <c r="E12" s="69">
        <v>1</v>
      </c>
      <c r="F12" s="69"/>
      <c r="G12" s="61">
        <v>1.5</v>
      </c>
      <c r="H12" s="71">
        <v>1.5</v>
      </c>
      <c r="I12" s="62">
        <f>K12+N12</f>
        <v>50.56</v>
      </c>
      <c r="J12" s="62">
        <f>L12+O12</f>
        <v>50.41</v>
      </c>
      <c r="K12" s="59">
        <v>49.61</v>
      </c>
      <c r="L12" s="59">
        <v>49.61</v>
      </c>
      <c r="M12" s="76"/>
      <c r="N12" s="73">
        <v>0.95</v>
      </c>
      <c r="O12" s="73">
        <f t="shared" si="6"/>
        <v>0.7999999999999999</v>
      </c>
      <c r="P12" s="73"/>
      <c r="Q12" s="73">
        <v>0.92</v>
      </c>
      <c r="R12" s="63">
        <f>I12-J12</f>
        <v>0.15000000000000568</v>
      </c>
      <c r="S12" s="120">
        <f t="shared" si="1"/>
        <v>3.5493106372928924</v>
      </c>
      <c r="T12" s="63">
        <v>2.49</v>
      </c>
      <c r="U12" s="73">
        <v>0.65</v>
      </c>
      <c r="V12" s="73">
        <v>0.575</v>
      </c>
      <c r="W12" s="120">
        <f t="shared" si="2"/>
        <v>2.202692307692308</v>
      </c>
      <c r="X12" s="74">
        <f t="shared" si="3"/>
        <v>1.3466183296005845</v>
      </c>
      <c r="Y12" s="121" t="s">
        <v>156</v>
      </c>
      <c r="Z12" s="122"/>
    </row>
    <row r="13" spans="1:25" ht="27.75" customHeight="1">
      <c r="A13" s="125">
        <v>7</v>
      </c>
      <c r="B13" s="211"/>
      <c r="C13" s="73" t="s">
        <v>173</v>
      </c>
      <c r="D13" s="126" t="s">
        <v>174</v>
      </c>
      <c r="E13" s="69">
        <v>1</v>
      </c>
      <c r="F13" s="69"/>
      <c r="G13" s="61">
        <v>1.5</v>
      </c>
      <c r="H13" s="71">
        <v>1.5</v>
      </c>
      <c r="I13" s="62">
        <f t="shared" si="4"/>
        <v>50.050000000000004</v>
      </c>
      <c r="J13" s="62">
        <f t="shared" si="5"/>
        <v>49.9</v>
      </c>
      <c r="K13" s="59">
        <v>49.1</v>
      </c>
      <c r="L13" s="59">
        <v>49.1</v>
      </c>
      <c r="M13" s="76">
        <f>MIN(H13,O13)</f>
        <v>0.7999999999999999</v>
      </c>
      <c r="N13" s="73">
        <v>0.95</v>
      </c>
      <c r="O13" s="73">
        <f t="shared" si="6"/>
        <v>0.7999999999999999</v>
      </c>
      <c r="P13" s="73"/>
      <c r="Q13" s="73">
        <v>0.92</v>
      </c>
      <c r="R13" s="63">
        <f>I13-J13</f>
        <v>0.15000000000000568</v>
      </c>
      <c r="S13" s="120">
        <f t="shared" si="1"/>
        <v>3.5493106372928924</v>
      </c>
      <c r="T13" s="63">
        <v>1.22</v>
      </c>
      <c r="U13" s="73">
        <v>0.65</v>
      </c>
      <c r="V13" s="73">
        <v>0.575</v>
      </c>
      <c r="W13" s="120">
        <f t="shared" si="2"/>
        <v>1.079230769230769</v>
      </c>
      <c r="X13" s="74">
        <f t="shared" si="3"/>
        <v>2.4700798680621237</v>
      </c>
      <c r="Y13" s="121" t="s">
        <v>175</v>
      </c>
    </row>
    <row r="14" spans="1:26" s="112" customFormat="1" ht="27.75" customHeight="1">
      <c r="A14" s="116" t="s">
        <v>176</v>
      </c>
      <c r="B14" s="207" t="s">
        <v>177</v>
      </c>
      <c r="C14" s="208"/>
      <c r="D14" s="119"/>
      <c r="E14" s="69"/>
      <c r="F14" s="69"/>
      <c r="G14" s="70"/>
      <c r="H14" s="71"/>
      <c r="I14" s="75"/>
      <c r="J14" s="75"/>
      <c r="K14" s="62"/>
      <c r="L14" s="63"/>
      <c r="M14" s="76"/>
      <c r="N14" s="119"/>
      <c r="O14" s="73"/>
      <c r="P14" s="73"/>
      <c r="Q14" s="73"/>
      <c r="R14" s="63"/>
      <c r="S14" s="120"/>
      <c r="T14" s="63"/>
      <c r="U14" s="73"/>
      <c r="V14" s="123"/>
      <c r="W14" s="120"/>
      <c r="X14" s="74"/>
      <c r="Y14" s="121"/>
      <c r="Z14" s="122"/>
    </row>
    <row r="15" spans="1:26" s="112" customFormat="1" ht="27.75" customHeight="1">
      <c r="A15" s="124">
        <v>1</v>
      </c>
      <c r="B15" s="212" t="str">
        <f>'5-2'!$A$5</f>
        <v>主干渠</v>
      </c>
      <c r="C15" s="73" t="s">
        <v>178</v>
      </c>
      <c r="D15" s="119" t="s">
        <v>56</v>
      </c>
      <c r="E15" s="69">
        <v>1</v>
      </c>
      <c r="F15" s="69">
        <v>0.6</v>
      </c>
      <c r="G15" s="73"/>
      <c r="H15" s="70"/>
      <c r="I15" s="62">
        <f>K15+N15</f>
        <v>53.19285714285714</v>
      </c>
      <c r="J15" s="62">
        <f>L15+O15</f>
        <v>52.24285714285714</v>
      </c>
      <c r="K15" s="62">
        <f>51.5-400/7000</f>
        <v>51.44285714285714</v>
      </c>
      <c r="L15" s="62">
        <f>51.5-400/7000</f>
        <v>51.44285714285714</v>
      </c>
      <c r="M15" s="76">
        <f aca="true" t="shared" si="7" ref="M15:M26">MIN(H15,O15)</f>
        <v>0.8</v>
      </c>
      <c r="N15" s="119">
        <v>1.75</v>
      </c>
      <c r="O15" s="73">
        <f>'5-2'!F5</f>
        <v>0.8</v>
      </c>
      <c r="P15" s="73">
        <v>0.82</v>
      </c>
      <c r="Q15" s="73"/>
      <c r="R15" s="63">
        <f t="shared" si="0"/>
        <v>0.9500000000000028</v>
      </c>
      <c r="S15" s="120">
        <f>E15*3.14*F15^2/4*P15*(2*9.8*R15)^(1/2)</f>
        <v>0.9999443900152064</v>
      </c>
      <c r="T15" s="73">
        <v>0.55</v>
      </c>
      <c r="U15" s="73">
        <v>0.68</v>
      </c>
      <c r="V15" s="128">
        <v>0.575</v>
      </c>
      <c r="W15" s="120">
        <f aca="true" t="shared" si="8" ref="W15:W26">T15*V15/U15</f>
        <v>0.46507352941176466</v>
      </c>
      <c r="X15" s="74">
        <f aca="true" t="shared" si="9" ref="X15:X23">S15-W15</f>
        <v>0.5348708606034418</v>
      </c>
      <c r="Y15" s="121" t="s">
        <v>175</v>
      </c>
      <c r="Z15" s="122"/>
    </row>
    <row r="16" spans="1:26" s="112" customFormat="1" ht="27.75" customHeight="1">
      <c r="A16" s="124">
        <v>2</v>
      </c>
      <c r="B16" s="212"/>
      <c r="C16" s="73" t="s">
        <v>179</v>
      </c>
      <c r="D16" s="119" t="s">
        <v>59</v>
      </c>
      <c r="E16" s="69">
        <v>1</v>
      </c>
      <c r="F16" s="69">
        <v>0.4</v>
      </c>
      <c r="G16" s="73"/>
      <c r="H16" s="70"/>
      <c r="I16" s="62">
        <f aca="true" t="shared" si="10" ref="I16:I26">K16+N16</f>
        <v>52.830000000000005</v>
      </c>
      <c r="J16" s="62">
        <f aca="true" t="shared" si="11" ref="J16:J26">L16+O16</f>
        <v>51.93</v>
      </c>
      <c r="K16" s="62">
        <v>51.13</v>
      </c>
      <c r="L16" s="62">
        <v>51.13</v>
      </c>
      <c r="M16" s="76">
        <f t="shared" si="7"/>
        <v>0.8</v>
      </c>
      <c r="N16" s="119">
        <v>1.7</v>
      </c>
      <c r="O16" s="73">
        <f>'5-2'!F6</f>
        <v>0.8</v>
      </c>
      <c r="P16" s="73">
        <v>0.82</v>
      </c>
      <c r="Q16" s="73"/>
      <c r="R16" s="63">
        <f t="shared" si="0"/>
        <v>0.9000000000000057</v>
      </c>
      <c r="S16" s="120">
        <f aca="true" t="shared" si="12" ref="S16:S25">E16*3.14*F16^2/4*P16*(2*9.8*R16)^(1/2)</f>
        <v>0.43256640000000146</v>
      </c>
      <c r="T16" s="73">
        <v>0.4</v>
      </c>
      <c r="U16" s="73">
        <v>0.68</v>
      </c>
      <c r="V16" s="128">
        <v>0.575</v>
      </c>
      <c r="W16" s="120">
        <f t="shared" si="8"/>
        <v>0.338235294117647</v>
      </c>
      <c r="X16" s="74">
        <f t="shared" si="9"/>
        <v>0.09433110588235444</v>
      </c>
      <c r="Y16" s="121" t="s">
        <v>175</v>
      </c>
      <c r="Z16" s="122"/>
    </row>
    <row r="17" spans="1:26" s="112" customFormat="1" ht="27.75" customHeight="1">
      <c r="A17" s="124">
        <v>3</v>
      </c>
      <c r="B17" s="212"/>
      <c r="C17" s="73" t="s">
        <v>180</v>
      </c>
      <c r="D17" s="119" t="s">
        <v>61</v>
      </c>
      <c r="E17" s="73">
        <v>1</v>
      </c>
      <c r="F17" s="69">
        <v>0.4</v>
      </c>
      <c r="G17" s="73"/>
      <c r="H17" s="70"/>
      <c r="I17" s="62">
        <f t="shared" si="10"/>
        <v>52.769999999999996</v>
      </c>
      <c r="J17" s="62">
        <f t="shared" si="11"/>
        <v>52.12</v>
      </c>
      <c r="K17" s="74">
        <v>51.12</v>
      </c>
      <c r="L17" s="74">
        <v>51.12</v>
      </c>
      <c r="M17" s="76">
        <f t="shared" si="7"/>
        <v>1</v>
      </c>
      <c r="N17" s="119">
        <v>1.65</v>
      </c>
      <c r="O17" s="73">
        <f>'5-2'!F7</f>
        <v>1</v>
      </c>
      <c r="P17" s="73">
        <v>0.82</v>
      </c>
      <c r="Q17" s="73"/>
      <c r="R17" s="63">
        <f t="shared" si="0"/>
        <v>0.6499999999999986</v>
      </c>
      <c r="S17" s="120">
        <f t="shared" si="12"/>
        <v>0.3676107524207633</v>
      </c>
      <c r="T17" s="73">
        <v>0.3</v>
      </c>
      <c r="U17" s="73">
        <v>0.68</v>
      </c>
      <c r="V17" s="128">
        <v>0.575</v>
      </c>
      <c r="W17" s="120">
        <f t="shared" si="8"/>
        <v>0.2536764705882353</v>
      </c>
      <c r="X17" s="74">
        <f t="shared" si="9"/>
        <v>0.11393428183252802</v>
      </c>
      <c r="Y17" s="121" t="s">
        <v>175</v>
      </c>
      <c r="Z17" s="122"/>
    </row>
    <row r="18" spans="1:26" s="112" customFormat="1" ht="27.75" customHeight="1">
      <c r="A18" s="124">
        <v>4</v>
      </c>
      <c r="B18" s="212" t="str">
        <f>'5-2'!$A$8</f>
        <v>东干渠</v>
      </c>
      <c r="C18" s="73" t="s">
        <v>181</v>
      </c>
      <c r="D18" s="119" t="s">
        <v>63</v>
      </c>
      <c r="E18" s="73">
        <v>1</v>
      </c>
      <c r="F18" s="73"/>
      <c r="G18" s="73">
        <v>0.8</v>
      </c>
      <c r="H18" s="70">
        <f>G18</f>
        <v>0.8</v>
      </c>
      <c r="I18" s="62">
        <f t="shared" si="10"/>
        <v>51.05</v>
      </c>
      <c r="J18" s="62">
        <f t="shared" si="11"/>
        <v>50.5</v>
      </c>
      <c r="K18" s="74">
        <v>49.5</v>
      </c>
      <c r="L18" s="74">
        <v>49.5</v>
      </c>
      <c r="M18" s="76">
        <f t="shared" si="7"/>
        <v>0.8</v>
      </c>
      <c r="N18" s="119">
        <v>1.55</v>
      </c>
      <c r="O18" s="73">
        <f>'5-2'!F8</f>
        <v>1</v>
      </c>
      <c r="P18" s="73">
        <v>0.82</v>
      </c>
      <c r="Q18" s="73"/>
      <c r="R18" s="63">
        <f t="shared" si="0"/>
        <v>0.5499999999999972</v>
      </c>
      <c r="S18" s="120">
        <f>E18*G18*H18*P18*(2*9.8*R18)^(1/2)</f>
        <v>1.7230711335287308</v>
      </c>
      <c r="T18" s="73">
        <v>1</v>
      </c>
      <c r="U18" s="73">
        <v>0.68</v>
      </c>
      <c r="V18" s="128">
        <v>0.575</v>
      </c>
      <c r="W18" s="120">
        <f t="shared" si="8"/>
        <v>0.8455882352941175</v>
      </c>
      <c r="X18" s="74">
        <f t="shared" si="9"/>
        <v>0.8774828982346132</v>
      </c>
      <c r="Y18" s="121" t="s">
        <v>175</v>
      </c>
      <c r="Z18" s="122"/>
    </row>
    <row r="19" spans="1:26" s="112" customFormat="1" ht="27.75" customHeight="1">
      <c r="A19" s="124">
        <v>5</v>
      </c>
      <c r="B19" s="212"/>
      <c r="C19" s="73" t="str">
        <f>'5-2'!$D$9</f>
        <v>张代              分水闸</v>
      </c>
      <c r="D19" s="119" t="s">
        <v>65</v>
      </c>
      <c r="E19" s="73">
        <v>1</v>
      </c>
      <c r="F19" s="69">
        <v>0.6</v>
      </c>
      <c r="G19" s="73"/>
      <c r="H19" s="70"/>
      <c r="I19" s="62">
        <f t="shared" si="10"/>
        <v>44.6</v>
      </c>
      <c r="J19" s="62">
        <f t="shared" si="11"/>
        <v>44.199999999999996</v>
      </c>
      <c r="K19" s="74">
        <v>43.4</v>
      </c>
      <c r="L19" s="74">
        <v>43.4</v>
      </c>
      <c r="M19" s="76">
        <f t="shared" si="7"/>
        <v>0.8</v>
      </c>
      <c r="N19" s="119">
        <v>1.2</v>
      </c>
      <c r="O19" s="73">
        <f>'5-2'!F9</f>
        <v>0.8</v>
      </c>
      <c r="P19" s="73">
        <v>0.82</v>
      </c>
      <c r="Q19" s="73"/>
      <c r="R19" s="63">
        <f t="shared" si="0"/>
        <v>0.4000000000000057</v>
      </c>
      <c r="S19" s="120">
        <f t="shared" si="12"/>
        <v>0.6488496000000046</v>
      </c>
      <c r="T19" s="59">
        <v>0.5</v>
      </c>
      <c r="U19" s="73">
        <v>0.68</v>
      </c>
      <c r="V19" s="128">
        <v>0.575</v>
      </c>
      <c r="W19" s="120">
        <f t="shared" si="8"/>
        <v>0.42279411764705876</v>
      </c>
      <c r="X19" s="74"/>
      <c r="Y19" s="121" t="s">
        <v>175</v>
      </c>
      <c r="Z19" s="122"/>
    </row>
    <row r="20" spans="1:26" s="112" customFormat="1" ht="27.75" customHeight="1">
      <c r="A20" s="124">
        <v>6</v>
      </c>
      <c r="B20" s="212"/>
      <c r="C20" s="73" t="str">
        <f>'5-2'!$D$10</f>
        <v>刘巷          分水闸</v>
      </c>
      <c r="D20" s="119" t="s">
        <v>67</v>
      </c>
      <c r="E20" s="73">
        <v>1</v>
      </c>
      <c r="F20" s="69"/>
      <c r="G20" s="73">
        <v>0.8</v>
      </c>
      <c r="H20" s="73">
        <v>0.8</v>
      </c>
      <c r="I20" s="62">
        <f t="shared" si="10"/>
        <v>43</v>
      </c>
      <c r="J20" s="62">
        <f t="shared" si="11"/>
        <v>42.9</v>
      </c>
      <c r="K20" s="74">
        <v>42.1</v>
      </c>
      <c r="L20" s="74">
        <v>42.1</v>
      </c>
      <c r="M20" s="76">
        <f t="shared" si="7"/>
        <v>0.8</v>
      </c>
      <c r="N20" s="119">
        <v>0.9</v>
      </c>
      <c r="O20" s="73">
        <f>'5-2'!F10</f>
        <v>0.8</v>
      </c>
      <c r="P20" s="73">
        <v>0.82</v>
      </c>
      <c r="Q20" s="73"/>
      <c r="R20" s="63">
        <f t="shared" si="0"/>
        <v>0.10000000000000142</v>
      </c>
      <c r="S20" s="120">
        <f>E20*G20*H20*P20*(2*9.8*R20)^(1/2)</f>
        <v>0.7347200000000053</v>
      </c>
      <c r="T20" s="73">
        <v>0.7</v>
      </c>
      <c r="U20" s="73">
        <v>0.68</v>
      </c>
      <c r="V20" s="128">
        <v>0.575</v>
      </c>
      <c r="W20" s="120">
        <f t="shared" si="8"/>
        <v>0.5919117647058822</v>
      </c>
      <c r="X20" s="74"/>
      <c r="Y20" s="121" t="s">
        <v>175</v>
      </c>
      <c r="Z20" s="122"/>
    </row>
    <row r="21" spans="1:26" s="112" customFormat="1" ht="27.75" customHeight="1">
      <c r="A21" s="124">
        <v>7</v>
      </c>
      <c r="B21" s="212" t="str">
        <f>'5-2'!$A$11</f>
        <v>西干渠</v>
      </c>
      <c r="C21" s="73" t="str">
        <f>'5-2'!$D$11</f>
        <v>谷石                  分水闸</v>
      </c>
      <c r="D21" s="119" t="s">
        <v>69</v>
      </c>
      <c r="E21" s="73">
        <v>1</v>
      </c>
      <c r="F21" s="69">
        <v>0.4</v>
      </c>
      <c r="G21" s="73"/>
      <c r="H21" s="70"/>
      <c r="I21" s="62">
        <f t="shared" si="10"/>
        <v>52.15</v>
      </c>
      <c r="J21" s="62">
        <f t="shared" si="11"/>
        <v>51.1</v>
      </c>
      <c r="K21" s="74">
        <v>50.6</v>
      </c>
      <c r="L21" s="74">
        <v>50.6</v>
      </c>
      <c r="M21" s="76">
        <f t="shared" si="7"/>
        <v>0.5</v>
      </c>
      <c r="N21" s="119">
        <v>1.55</v>
      </c>
      <c r="O21" s="73">
        <f>'5-2'!F11</f>
        <v>0.5</v>
      </c>
      <c r="P21" s="73">
        <v>0.82</v>
      </c>
      <c r="Q21" s="73"/>
      <c r="R21" s="63">
        <f t="shared" si="0"/>
        <v>1.0499999999999972</v>
      </c>
      <c r="S21" s="120">
        <f t="shared" si="12"/>
        <v>0.467225112207295</v>
      </c>
      <c r="T21" s="73">
        <v>0.12</v>
      </c>
      <c r="U21" s="73">
        <v>0.68</v>
      </c>
      <c r="V21" s="128">
        <v>0.575</v>
      </c>
      <c r="W21" s="120">
        <f t="shared" si="8"/>
        <v>0.1014705882352941</v>
      </c>
      <c r="X21" s="74"/>
      <c r="Y21" s="121" t="s">
        <v>175</v>
      </c>
      <c r="Z21" s="122"/>
    </row>
    <row r="22" spans="1:26" s="112" customFormat="1" ht="27.75" customHeight="1">
      <c r="A22" s="124">
        <v>8</v>
      </c>
      <c r="B22" s="212"/>
      <c r="C22" s="73" t="s">
        <v>182</v>
      </c>
      <c r="D22" s="119" t="s">
        <v>71</v>
      </c>
      <c r="E22" s="73">
        <v>1</v>
      </c>
      <c r="F22" s="69">
        <v>0.6</v>
      </c>
      <c r="G22" s="73"/>
      <c r="H22" s="70"/>
      <c r="I22" s="62">
        <f t="shared" si="10"/>
        <v>51.55</v>
      </c>
      <c r="J22" s="62">
        <f t="shared" si="11"/>
        <v>51</v>
      </c>
      <c r="K22" s="74">
        <v>50.3</v>
      </c>
      <c r="L22" s="74">
        <v>50.3</v>
      </c>
      <c r="M22" s="76">
        <f t="shared" si="7"/>
        <v>0.7</v>
      </c>
      <c r="N22" s="119">
        <v>1.25</v>
      </c>
      <c r="O22" s="73">
        <f>'5-2'!F12</f>
        <v>0.7</v>
      </c>
      <c r="P22" s="73">
        <v>0.82</v>
      </c>
      <c r="Q22" s="73"/>
      <c r="R22" s="63">
        <f t="shared" si="0"/>
        <v>0.5499999999999972</v>
      </c>
      <c r="S22" s="120">
        <f t="shared" si="12"/>
        <v>0.7608435973987802</v>
      </c>
      <c r="T22" s="59">
        <v>0.4</v>
      </c>
      <c r="U22" s="73">
        <v>0.68</v>
      </c>
      <c r="V22" s="128">
        <v>0.575</v>
      </c>
      <c r="W22" s="120">
        <f t="shared" si="8"/>
        <v>0.338235294117647</v>
      </c>
      <c r="X22" s="74">
        <f t="shared" si="9"/>
        <v>0.42260830328113314</v>
      </c>
      <c r="Y22" s="121" t="s">
        <v>175</v>
      </c>
      <c r="Z22" s="122"/>
    </row>
    <row r="23" spans="1:26" s="112" customFormat="1" ht="27.75" customHeight="1">
      <c r="A23" s="124">
        <v>9</v>
      </c>
      <c r="B23" s="212"/>
      <c r="C23" s="73" t="s">
        <v>183</v>
      </c>
      <c r="D23" s="119" t="s">
        <v>73</v>
      </c>
      <c r="E23" s="73">
        <v>1</v>
      </c>
      <c r="F23" s="69">
        <v>0.6</v>
      </c>
      <c r="G23" s="73">
        <v>0.4</v>
      </c>
      <c r="H23" s="70">
        <f>G23</f>
        <v>0.4</v>
      </c>
      <c r="I23" s="62">
        <f t="shared" si="10"/>
        <v>51.300000000000004</v>
      </c>
      <c r="J23" s="62">
        <f t="shared" si="11"/>
        <v>50.900000000000006</v>
      </c>
      <c r="K23" s="74">
        <v>50.2</v>
      </c>
      <c r="L23" s="74">
        <v>50.2</v>
      </c>
      <c r="M23" s="76">
        <f t="shared" si="7"/>
        <v>0.4</v>
      </c>
      <c r="N23" s="119">
        <v>1.1</v>
      </c>
      <c r="O23" s="73">
        <f>'5-2'!F13</f>
        <v>0.7</v>
      </c>
      <c r="P23" s="73">
        <v>0.82</v>
      </c>
      <c r="Q23" s="73"/>
      <c r="R23" s="63">
        <f t="shared" si="0"/>
        <v>0.3999999999999986</v>
      </c>
      <c r="S23" s="120">
        <f t="shared" si="12"/>
        <v>0.6488495999999988</v>
      </c>
      <c r="T23" s="59">
        <v>0.4</v>
      </c>
      <c r="U23" s="73">
        <v>0.68</v>
      </c>
      <c r="V23" s="128">
        <v>0.575</v>
      </c>
      <c r="W23" s="120">
        <f t="shared" si="8"/>
        <v>0.338235294117647</v>
      </c>
      <c r="X23" s="74">
        <f t="shared" si="9"/>
        <v>0.3106143058823518</v>
      </c>
      <c r="Y23" s="121" t="s">
        <v>175</v>
      </c>
      <c r="Z23" s="122"/>
    </row>
    <row r="24" spans="1:26" s="112" customFormat="1" ht="27.75" customHeight="1">
      <c r="A24" s="124">
        <v>10</v>
      </c>
      <c r="B24" s="212"/>
      <c r="C24" s="73" t="str">
        <f>'5-2'!$D$14</f>
        <v>蔡郑               分水闸</v>
      </c>
      <c r="D24" s="119" t="s">
        <v>49</v>
      </c>
      <c r="E24" s="73">
        <v>1</v>
      </c>
      <c r="F24" s="69">
        <v>0.4</v>
      </c>
      <c r="G24" s="73">
        <v>0.4</v>
      </c>
      <c r="H24" s="70">
        <f>G24</f>
        <v>0.4</v>
      </c>
      <c r="I24" s="62">
        <f t="shared" si="10"/>
        <v>50.2</v>
      </c>
      <c r="J24" s="62">
        <f t="shared" si="11"/>
        <v>49.7</v>
      </c>
      <c r="K24" s="74">
        <v>49.1</v>
      </c>
      <c r="L24" s="74">
        <v>49.1</v>
      </c>
      <c r="M24" s="76">
        <f t="shared" si="7"/>
        <v>0.4</v>
      </c>
      <c r="N24" s="119">
        <v>1.1</v>
      </c>
      <c r="O24" s="73">
        <f>'5-2'!F14</f>
        <v>0.6</v>
      </c>
      <c r="P24" s="73">
        <v>0.82</v>
      </c>
      <c r="Q24" s="73"/>
      <c r="R24" s="63">
        <f t="shared" si="0"/>
        <v>0.5</v>
      </c>
      <c r="S24" s="120">
        <f t="shared" si="12"/>
        <v>0.32241595839412174</v>
      </c>
      <c r="T24" s="73">
        <v>0.27</v>
      </c>
      <c r="U24" s="73">
        <v>0.68</v>
      </c>
      <c r="V24" s="128">
        <v>0.575</v>
      </c>
      <c r="W24" s="120">
        <f t="shared" si="8"/>
        <v>0.22830882352941176</v>
      </c>
      <c r="X24" s="74"/>
      <c r="Y24" s="121" t="s">
        <v>175</v>
      </c>
      <c r="Z24" s="122"/>
    </row>
    <row r="25" spans="1:26" s="112" customFormat="1" ht="27.75" customHeight="1">
      <c r="A25" s="124">
        <v>11</v>
      </c>
      <c r="B25" s="222"/>
      <c r="C25" s="73" t="str">
        <f>'5-2'!$D$15</f>
        <v>龙尾     分水闸</v>
      </c>
      <c r="D25" s="119" t="s">
        <v>76</v>
      </c>
      <c r="E25" s="73">
        <v>1</v>
      </c>
      <c r="F25" s="69">
        <v>0.4</v>
      </c>
      <c r="G25" s="73">
        <v>0.4</v>
      </c>
      <c r="H25" s="70">
        <f>G25</f>
        <v>0.4</v>
      </c>
      <c r="I25" s="62">
        <f t="shared" si="10"/>
        <v>49.8</v>
      </c>
      <c r="J25" s="62">
        <f t="shared" si="11"/>
        <v>49.3</v>
      </c>
      <c r="K25" s="74">
        <v>48.8</v>
      </c>
      <c r="L25" s="74">
        <v>48.8</v>
      </c>
      <c r="M25" s="76">
        <f t="shared" si="7"/>
        <v>0.4</v>
      </c>
      <c r="N25" s="119">
        <v>1</v>
      </c>
      <c r="O25" s="73">
        <f>'5-2'!F15</f>
        <v>0.5</v>
      </c>
      <c r="P25" s="73">
        <v>0.82</v>
      </c>
      <c r="Q25" s="73"/>
      <c r="R25" s="63">
        <f t="shared" si="0"/>
        <v>0.5</v>
      </c>
      <c r="S25" s="120">
        <f t="shared" si="12"/>
        <v>0.32241595839412174</v>
      </c>
      <c r="T25" s="73">
        <v>0.18</v>
      </c>
      <c r="U25" s="73">
        <v>0.68</v>
      </c>
      <c r="V25" s="128">
        <v>0.575</v>
      </c>
      <c r="W25" s="120">
        <f t="shared" si="8"/>
        <v>0.15220588235294116</v>
      </c>
      <c r="X25" s="74"/>
      <c r="Y25" s="121" t="s">
        <v>175</v>
      </c>
      <c r="Z25" s="122"/>
    </row>
    <row r="26" spans="1:26" s="112" customFormat="1" ht="27.75" customHeight="1">
      <c r="A26" s="124">
        <v>12</v>
      </c>
      <c r="B26" s="222"/>
      <c r="C26" s="73" t="str">
        <f>'5-2'!$D$16</f>
        <v>雷陈                分水闸</v>
      </c>
      <c r="D26" s="119" t="s">
        <v>67</v>
      </c>
      <c r="E26" s="73">
        <v>1</v>
      </c>
      <c r="F26" s="73"/>
      <c r="G26" s="71">
        <v>0.8</v>
      </c>
      <c r="H26" s="70">
        <f>G26</f>
        <v>0.8</v>
      </c>
      <c r="I26" s="62">
        <f t="shared" si="10"/>
        <v>46.32</v>
      </c>
      <c r="J26" s="62">
        <f t="shared" si="11"/>
        <v>46.120000000000005</v>
      </c>
      <c r="K26" s="74">
        <v>45.42</v>
      </c>
      <c r="L26" s="74">
        <v>45.42</v>
      </c>
      <c r="M26" s="76">
        <f t="shared" si="7"/>
        <v>0.7</v>
      </c>
      <c r="N26" s="119">
        <v>0.9</v>
      </c>
      <c r="O26" s="73">
        <f>'5-2'!F16</f>
        <v>0.7</v>
      </c>
      <c r="P26" s="73">
        <v>0.82</v>
      </c>
      <c r="Q26" s="73"/>
      <c r="R26" s="63">
        <f t="shared" si="0"/>
        <v>0.19999999999999574</v>
      </c>
      <c r="S26" s="120">
        <f>E26*G26*H26*P26*(2*9.8*R26)^(1/2)</f>
        <v>1.0390509885467494</v>
      </c>
      <c r="T26" s="73">
        <v>0.53</v>
      </c>
      <c r="U26" s="73">
        <v>0.68</v>
      </c>
      <c r="V26" s="73">
        <v>0.575</v>
      </c>
      <c r="W26" s="120">
        <f t="shared" si="8"/>
        <v>0.44816176470588226</v>
      </c>
      <c r="X26" s="74"/>
      <c r="Y26" s="121" t="s">
        <v>175</v>
      </c>
      <c r="Z26" s="122"/>
    </row>
    <row r="27" spans="1:26" s="112" customFormat="1" ht="27.75" customHeight="1">
      <c r="A27" s="116" t="s">
        <v>184</v>
      </c>
      <c r="B27" s="207" t="s">
        <v>185</v>
      </c>
      <c r="C27" s="208"/>
      <c r="D27" s="119"/>
      <c r="E27" s="73"/>
      <c r="F27" s="73"/>
      <c r="G27" s="71"/>
      <c r="H27" s="71"/>
      <c r="I27" s="75"/>
      <c r="J27" s="75"/>
      <c r="K27" s="74"/>
      <c r="L27" s="63"/>
      <c r="M27" s="76"/>
      <c r="N27" s="119"/>
      <c r="O27" s="73"/>
      <c r="P27" s="113"/>
      <c r="Q27" s="73"/>
      <c r="R27" s="63"/>
      <c r="S27" s="120"/>
      <c r="T27" s="63"/>
      <c r="U27" s="73"/>
      <c r="V27" s="114"/>
      <c r="W27" s="120"/>
      <c r="X27" s="74"/>
      <c r="Y27" s="121"/>
      <c r="Z27" s="122"/>
    </row>
    <row r="28" spans="1:26" s="112" customFormat="1" ht="27.75" customHeight="1">
      <c r="A28" s="124">
        <v>1</v>
      </c>
      <c r="B28" s="73" t="s">
        <v>186</v>
      </c>
      <c r="C28" s="73" t="s">
        <v>187</v>
      </c>
      <c r="D28" s="119" t="s">
        <v>188</v>
      </c>
      <c r="E28" s="73">
        <v>1</v>
      </c>
      <c r="F28" s="73"/>
      <c r="G28" s="129">
        <v>2.5</v>
      </c>
      <c r="H28" s="71"/>
      <c r="I28" s="62">
        <f>K28+1.7</f>
        <v>52.940000000000005</v>
      </c>
      <c r="J28" s="75">
        <v>51.8</v>
      </c>
      <c r="K28" s="74">
        <v>51.24</v>
      </c>
      <c r="L28" s="63">
        <f>I28-O28</f>
        <v>51.940000000000005</v>
      </c>
      <c r="M28" s="76"/>
      <c r="N28" s="130">
        <f>I28-K28</f>
        <v>1.7000000000000028</v>
      </c>
      <c r="O28" s="73">
        <v>1</v>
      </c>
      <c r="P28" s="73">
        <v>0.365</v>
      </c>
      <c r="Q28" s="73"/>
      <c r="R28" s="63">
        <f t="shared" si="0"/>
        <v>1.1400000000000077</v>
      </c>
      <c r="S28" s="120">
        <f>E28*G28*P28*R28*(2*9.8*R28)^(1/2)</f>
        <v>4.917203542309439</v>
      </c>
      <c r="T28" s="63"/>
      <c r="U28" s="73"/>
      <c r="V28" s="114"/>
      <c r="W28" s="120">
        <v>4.38</v>
      </c>
      <c r="X28" s="74">
        <f>S28-W28</f>
        <v>0.537203542309439</v>
      </c>
      <c r="Y28" s="121" t="s">
        <v>175</v>
      </c>
      <c r="Z28" s="122"/>
    </row>
    <row r="29" spans="1:26" s="112" customFormat="1" ht="27.75" customHeight="1">
      <c r="A29" s="124">
        <v>2</v>
      </c>
      <c r="B29" s="73" t="s">
        <v>189</v>
      </c>
      <c r="C29" s="73" t="s">
        <v>190</v>
      </c>
      <c r="D29" s="119" t="s">
        <v>191</v>
      </c>
      <c r="E29" s="73">
        <v>1</v>
      </c>
      <c r="F29" s="73"/>
      <c r="G29" s="129">
        <v>2</v>
      </c>
      <c r="H29" s="71"/>
      <c r="I29" s="62">
        <f>K29+1.7</f>
        <v>52.06</v>
      </c>
      <c r="J29" s="75">
        <v>51.15</v>
      </c>
      <c r="K29" s="74">
        <v>50.36</v>
      </c>
      <c r="L29" s="63">
        <f>I29-O29</f>
        <v>51.36</v>
      </c>
      <c r="M29" s="76"/>
      <c r="N29" s="119">
        <v>1.55</v>
      </c>
      <c r="O29" s="73">
        <v>0.7</v>
      </c>
      <c r="P29" s="73">
        <v>0.365</v>
      </c>
      <c r="Q29" s="73"/>
      <c r="R29" s="63">
        <f>I29-J29</f>
        <v>0.9100000000000037</v>
      </c>
      <c r="S29" s="120">
        <f>E29*G29*P29*R29*(2*9.8*R29)^(1/2)</f>
        <v>2.8055175144062274</v>
      </c>
      <c r="T29" s="63"/>
      <c r="U29" s="73"/>
      <c r="V29" s="114"/>
      <c r="W29" s="120">
        <v>2.58</v>
      </c>
      <c r="X29" s="74">
        <f>S29-W29</f>
        <v>0.22551751440622736</v>
      </c>
      <c r="Y29" s="121" t="s">
        <v>175</v>
      </c>
      <c r="Z29" s="122"/>
    </row>
    <row r="30" spans="1:26" s="112" customFormat="1" ht="27.75" customHeight="1">
      <c r="A30" s="116" t="s">
        <v>192</v>
      </c>
      <c r="B30" s="207" t="s">
        <v>193</v>
      </c>
      <c r="C30" s="224"/>
      <c r="D30" s="119"/>
      <c r="E30" s="73"/>
      <c r="F30" s="73"/>
      <c r="G30" s="129"/>
      <c r="H30" s="71"/>
      <c r="I30" s="75"/>
      <c r="J30" s="75"/>
      <c r="K30" s="74"/>
      <c r="L30" s="63"/>
      <c r="M30" s="76"/>
      <c r="N30" s="119"/>
      <c r="O30" s="73"/>
      <c r="P30" s="113"/>
      <c r="Q30" s="73"/>
      <c r="R30" s="63"/>
      <c r="S30" s="120"/>
      <c r="T30" s="63"/>
      <c r="U30" s="73"/>
      <c r="V30" s="114"/>
      <c r="W30" s="120"/>
      <c r="X30" s="74"/>
      <c r="Y30" s="121"/>
      <c r="Z30" s="122"/>
    </row>
    <row r="31" spans="1:26" s="112" customFormat="1" ht="27.75" customHeight="1">
      <c r="A31" s="124">
        <v>1</v>
      </c>
      <c r="B31" s="73" t="s">
        <v>194</v>
      </c>
      <c r="C31" s="73" t="s">
        <v>195</v>
      </c>
      <c r="D31" s="119" t="s">
        <v>196</v>
      </c>
      <c r="E31" s="73"/>
      <c r="F31" s="73"/>
      <c r="G31" s="129">
        <v>2</v>
      </c>
      <c r="H31" s="71">
        <v>1.9</v>
      </c>
      <c r="I31" s="223" t="s">
        <v>197</v>
      </c>
      <c r="J31" s="223"/>
      <c r="K31" s="74">
        <v>51.42</v>
      </c>
      <c r="L31" s="63">
        <f>K31-27/300</f>
        <v>51.33</v>
      </c>
      <c r="M31" s="76"/>
      <c r="N31" s="119">
        <v>1.7</v>
      </c>
      <c r="O31" s="119">
        <v>1.7</v>
      </c>
      <c r="P31" s="221" t="s">
        <v>198</v>
      </c>
      <c r="Q31" s="208"/>
      <c r="R31" s="208"/>
      <c r="S31" s="120">
        <f>3.4*51.44*(0.63/300)^0.5</f>
        <v>8.014741587449965</v>
      </c>
      <c r="T31" s="63">
        <v>7.17</v>
      </c>
      <c r="U31" s="73">
        <v>0.65</v>
      </c>
      <c r="V31" s="73">
        <v>0.575</v>
      </c>
      <c r="W31" s="120">
        <f>T31*V31/U31</f>
        <v>6.342692307692308</v>
      </c>
      <c r="X31" s="74"/>
      <c r="Y31" s="121" t="s">
        <v>199</v>
      </c>
      <c r="Z31" s="122"/>
    </row>
    <row r="32" spans="1:26" s="112" customFormat="1" ht="27.75" customHeight="1">
      <c r="A32" s="124">
        <v>2</v>
      </c>
      <c r="B32" s="73" t="s">
        <v>200</v>
      </c>
      <c r="C32" s="73" t="s">
        <v>201</v>
      </c>
      <c r="D32" s="119" t="s">
        <v>202</v>
      </c>
      <c r="E32" s="73"/>
      <c r="F32" s="73"/>
      <c r="G32" s="129">
        <v>0.7</v>
      </c>
      <c r="H32" s="71">
        <v>1.2</v>
      </c>
      <c r="I32" s="223" t="s">
        <v>203</v>
      </c>
      <c r="J32" s="223"/>
      <c r="K32" s="74">
        <v>45.43</v>
      </c>
      <c r="L32" s="63">
        <f>K32-32/3000</f>
        <v>45.419333333333334</v>
      </c>
      <c r="M32" s="76"/>
      <c r="N32" s="119">
        <v>0.7</v>
      </c>
      <c r="O32" s="119">
        <v>0.7</v>
      </c>
      <c r="P32" s="221" t="s">
        <v>204</v>
      </c>
      <c r="Q32" s="208"/>
      <c r="R32" s="208"/>
      <c r="S32" s="120">
        <f>0.49*64.71*(2.333/3000)^0.5</f>
        <v>0.8842279159399514</v>
      </c>
      <c r="T32" s="63">
        <v>0.7</v>
      </c>
      <c r="U32" s="73">
        <v>0.65</v>
      </c>
      <c r="V32" s="73">
        <v>0.575</v>
      </c>
      <c r="W32" s="120">
        <f>T32*V32/U32</f>
        <v>0.6192307692307691</v>
      </c>
      <c r="X32" s="74"/>
      <c r="Y32" s="121" t="s">
        <v>199</v>
      </c>
      <c r="Z32" s="122"/>
    </row>
    <row r="33" spans="1:26" s="112" customFormat="1" ht="27.75" customHeight="1">
      <c r="A33" s="116" t="s">
        <v>205</v>
      </c>
      <c r="B33" s="207" t="s">
        <v>206</v>
      </c>
      <c r="C33" s="224"/>
      <c r="D33" s="119"/>
      <c r="E33" s="73"/>
      <c r="F33" s="73"/>
      <c r="G33" s="129"/>
      <c r="H33" s="71"/>
      <c r="I33" s="75"/>
      <c r="J33" s="75"/>
      <c r="K33" s="74"/>
      <c r="L33" s="63"/>
      <c r="M33" s="76"/>
      <c r="N33" s="119"/>
      <c r="O33" s="73"/>
      <c r="P33" s="113"/>
      <c r="Q33" s="73"/>
      <c r="R33" s="63"/>
      <c r="S33" s="120"/>
      <c r="T33" s="63"/>
      <c r="U33" s="73"/>
      <c r="V33" s="114"/>
      <c r="W33" s="120"/>
      <c r="X33" s="74"/>
      <c r="Y33" s="121"/>
      <c r="Z33" s="122"/>
    </row>
    <row r="34" spans="1:26" s="112" customFormat="1" ht="42.75" customHeight="1">
      <c r="A34" s="124">
        <v>1</v>
      </c>
      <c r="B34" s="209" t="s">
        <v>207</v>
      </c>
      <c r="C34" s="73" t="s">
        <v>208</v>
      </c>
      <c r="D34" s="119" t="s">
        <v>209</v>
      </c>
      <c r="E34" s="73">
        <v>1</v>
      </c>
      <c r="F34" s="73"/>
      <c r="G34" s="129">
        <v>1.5</v>
      </c>
      <c r="H34" s="71">
        <v>2</v>
      </c>
      <c r="I34" s="62">
        <f aca="true" t="shared" si="13" ref="I34:J36">K34+N34</f>
        <v>50.690000000000005</v>
      </c>
      <c r="J34" s="76">
        <f t="shared" si="13"/>
        <v>47.61</v>
      </c>
      <c r="K34" s="74">
        <v>49.49</v>
      </c>
      <c r="L34" s="77">
        <f>K34-2.88</f>
        <v>46.61</v>
      </c>
      <c r="M34" s="76">
        <f>MIN(H34,O34)</f>
        <v>1</v>
      </c>
      <c r="N34" s="119">
        <v>1.2</v>
      </c>
      <c r="O34" s="73">
        <f>N34-0.2</f>
        <v>1</v>
      </c>
      <c r="P34" s="73">
        <v>0.365</v>
      </c>
      <c r="Q34" s="73"/>
      <c r="R34" s="63">
        <f>I34-J34</f>
        <v>3.0800000000000054</v>
      </c>
      <c r="S34" s="120">
        <f>E34*G34*P34*N34*(2*9.8*N34)^(1/2)</f>
        <v>3.1862806656037064</v>
      </c>
      <c r="T34" s="73">
        <v>2.2</v>
      </c>
      <c r="U34" s="73">
        <v>0.65</v>
      </c>
      <c r="V34" s="114">
        <v>0.575</v>
      </c>
      <c r="W34" s="120">
        <f>T34*V34/U34</f>
        <v>1.946153846153846</v>
      </c>
      <c r="X34" s="74">
        <f>S34-W34</f>
        <v>1.2401268194498605</v>
      </c>
      <c r="Y34" s="121" t="s">
        <v>199</v>
      </c>
      <c r="Z34" s="122"/>
    </row>
    <row r="35" spans="1:26" s="112" customFormat="1" ht="27.75" customHeight="1">
      <c r="A35" s="124">
        <v>2</v>
      </c>
      <c r="B35" s="209"/>
      <c r="C35" s="73" t="s">
        <v>210</v>
      </c>
      <c r="D35" s="119" t="s">
        <v>211</v>
      </c>
      <c r="E35" s="73">
        <v>1</v>
      </c>
      <c r="F35" s="73"/>
      <c r="G35" s="129">
        <v>2</v>
      </c>
      <c r="H35" s="71">
        <v>2</v>
      </c>
      <c r="I35" s="62">
        <f t="shared" si="13"/>
        <v>47.580000000000005</v>
      </c>
      <c r="J35" s="76">
        <f t="shared" si="13"/>
        <v>45.38</v>
      </c>
      <c r="K35" s="74">
        <v>46.38</v>
      </c>
      <c r="L35" s="63">
        <f>K35-2</f>
        <v>44.38</v>
      </c>
      <c r="M35" s="76">
        <f>MIN(H35,O35)</f>
        <v>1</v>
      </c>
      <c r="N35" s="119">
        <v>1.2</v>
      </c>
      <c r="O35" s="73">
        <f>N35-0.2</f>
        <v>1</v>
      </c>
      <c r="P35" s="73">
        <v>0.365</v>
      </c>
      <c r="Q35" s="73"/>
      <c r="R35" s="63">
        <f>I35-J35</f>
        <v>2.200000000000003</v>
      </c>
      <c r="S35" s="120">
        <f>E35*G35*P35*N35*(2*9.8*N35)^(1/2)</f>
        <v>4.248374220804942</v>
      </c>
      <c r="T35" s="73">
        <v>2.2</v>
      </c>
      <c r="U35" s="73">
        <v>0.65</v>
      </c>
      <c r="V35" s="114">
        <v>0.575</v>
      </c>
      <c r="W35" s="120">
        <f>T35*V35/U35</f>
        <v>1.946153846153846</v>
      </c>
      <c r="X35" s="74">
        <f>S35-W35</f>
        <v>2.3022203746510965</v>
      </c>
      <c r="Y35" s="121" t="s">
        <v>199</v>
      </c>
      <c r="Z35" s="122"/>
    </row>
    <row r="36" spans="1:26" s="112" customFormat="1" ht="27.75" customHeight="1" thickBot="1">
      <c r="A36" s="131">
        <v>3</v>
      </c>
      <c r="B36" s="132" t="str">
        <f>B29</f>
        <v>西    干渠</v>
      </c>
      <c r="C36" s="80" t="s">
        <v>212</v>
      </c>
      <c r="D36" s="133" t="s">
        <v>213</v>
      </c>
      <c r="E36" s="80">
        <v>1</v>
      </c>
      <c r="F36" s="80"/>
      <c r="G36" s="134">
        <v>0.7</v>
      </c>
      <c r="H36" s="81">
        <v>1.4</v>
      </c>
      <c r="I36" s="135">
        <f t="shared" si="13"/>
        <v>46.449999999999996</v>
      </c>
      <c r="J36" s="136">
        <f t="shared" si="13"/>
        <v>44.25</v>
      </c>
      <c r="K36" s="83">
        <v>45.55</v>
      </c>
      <c r="L36" s="84">
        <f>K36-2</f>
        <v>43.55</v>
      </c>
      <c r="M36" s="136">
        <f>MIN(H36,O36)</f>
        <v>0.7</v>
      </c>
      <c r="N36" s="133">
        <v>0.9</v>
      </c>
      <c r="O36" s="80">
        <f>N36-0.2</f>
        <v>0.7</v>
      </c>
      <c r="P36" s="80">
        <v>0.365</v>
      </c>
      <c r="Q36" s="80"/>
      <c r="R36" s="84">
        <f>I36-J36</f>
        <v>2.1999999999999957</v>
      </c>
      <c r="S36" s="137">
        <f>E36*G36*P36*N36*(2*9.8*N36)^(1/2)</f>
        <v>0.9657900000000001</v>
      </c>
      <c r="T36" s="80">
        <v>0.7</v>
      </c>
      <c r="U36" s="80">
        <v>0.65</v>
      </c>
      <c r="V36" s="138">
        <v>0.575</v>
      </c>
      <c r="W36" s="137">
        <f>T36*V36/U36</f>
        <v>0.6192307692307691</v>
      </c>
      <c r="X36" s="83">
        <f>S36-W36</f>
        <v>0.346559230769231</v>
      </c>
      <c r="Y36" s="139" t="s">
        <v>199</v>
      </c>
      <c r="Z36" s="122"/>
    </row>
  </sheetData>
  <mergeCells count="24">
    <mergeCell ref="P31:R31"/>
    <mergeCell ref="P32:R32"/>
    <mergeCell ref="B34:B35"/>
    <mergeCell ref="B18:B20"/>
    <mergeCell ref="B21:B26"/>
    <mergeCell ref="I31:J31"/>
    <mergeCell ref="I32:J32"/>
    <mergeCell ref="B33:C33"/>
    <mergeCell ref="B30:C30"/>
    <mergeCell ref="A3:A4"/>
    <mergeCell ref="D3:D4"/>
    <mergeCell ref="E3:S3"/>
    <mergeCell ref="T3:W3"/>
    <mergeCell ref="B3:B4"/>
    <mergeCell ref="A1:Y1"/>
    <mergeCell ref="B6:C6"/>
    <mergeCell ref="B14:C14"/>
    <mergeCell ref="B27:C27"/>
    <mergeCell ref="B9:B11"/>
    <mergeCell ref="B7:B8"/>
    <mergeCell ref="B12:B13"/>
    <mergeCell ref="B15:B17"/>
    <mergeCell ref="Y3:Y4"/>
    <mergeCell ref="C3:C4"/>
  </mergeCells>
  <printOptions horizontalCentered="1" verticalCentered="1"/>
  <pageMargins left="0.7480314960629921" right="0.5511811023622047" top="0.984251968503937" bottom="0.7874015748031497" header="0.5118110236220472" footer="0.5118110236220472"/>
  <pageSetup horizontalDpi="360" verticalDpi="36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7"/>
  <sheetViews>
    <sheetView zoomScale="75" zoomScaleNormal="75" workbookViewId="0" topLeftCell="A1">
      <pane xSplit="3" ySplit="3" topLeftCell="P1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Z1" sqref="Z1"/>
    </sheetView>
  </sheetViews>
  <sheetFormatPr defaultColWidth="9.00390625" defaultRowHeight="24.75" customHeight="1"/>
  <cols>
    <col min="1" max="1" width="5.25390625" style="90" customWidth="1"/>
    <col min="2" max="2" width="7.875" style="91" customWidth="1"/>
    <col min="3" max="4" width="6.00390625" style="91" customWidth="1"/>
    <col min="5" max="5" width="4.75390625" style="92" customWidth="1"/>
    <col min="6" max="9" width="5.25390625" style="93" customWidth="1"/>
    <col min="10" max="10" width="6.125" style="93" customWidth="1"/>
    <col min="11" max="11" width="6.00390625" style="94" customWidth="1"/>
    <col min="12" max="12" width="5.25390625" style="93" customWidth="1"/>
    <col min="13" max="13" width="6.25390625" style="93" customWidth="1"/>
    <col min="14" max="14" width="5.875" style="95" customWidth="1"/>
    <col min="15" max="15" width="6.50390625" style="95" customWidth="1"/>
    <col min="16" max="16" width="6.125" style="91" customWidth="1"/>
    <col min="17" max="17" width="6.00390625" style="91" customWidth="1"/>
    <col min="18" max="18" width="5.00390625" style="56" customWidth="1"/>
    <col min="19" max="19" width="5.25390625" style="96" customWidth="1"/>
    <col min="20" max="20" width="5.125" style="91" customWidth="1"/>
    <col min="21" max="21" width="4.375" style="91" customWidth="1"/>
    <col min="22" max="22" width="8.375" style="91" hidden="1" customWidth="1"/>
    <col min="23" max="23" width="9.00390625" style="91" hidden="1" customWidth="1"/>
    <col min="24" max="24" width="10.625" style="91" hidden="1" customWidth="1"/>
    <col min="25" max="25" width="14.25390625" style="91" hidden="1" customWidth="1"/>
    <col min="26" max="26" width="8.375" style="97" customWidth="1"/>
    <col min="27" max="27" width="5.50390625" style="91" customWidth="1"/>
    <col min="28" max="28" width="5.125" style="91" customWidth="1"/>
    <col min="29" max="29" width="6.50390625" style="91" customWidth="1"/>
    <col min="30" max="30" width="5.625" style="91" customWidth="1"/>
    <col min="31" max="31" width="6.625" style="91" customWidth="1"/>
    <col min="32" max="32" width="5.625" style="96" customWidth="1"/>
    <col min="33" max="33" width="11.25390625" style="96" hidden="1" customWidth="1"/>
    <col min="34" max="34" width="6.00390625" style="96" customWidth="1"/>
    <col min="35" max="35" width="5.625" style="96" customWidth="1"/>
    <col min="36" max="36" width="6.50390625" style="91" customWidth="1"/>
    <col min="37" max="16384" width="9.00390625" style="91" customWidth="1"/>
  </cols>
  <sheetData>
    <row r="1" spans="1:35" s="48" customFormat="1" ht="26.25" customHeight="1">
      <c r="A1" s="37" t="s">
        <v>88</v>
      </c>
      <c r="B1" s="38"/>
      <c r="C1" s="39"/>
      <c r="D1" s="40"/>
      <c r="E1" s="41"/>
      <c r="F1" s="42"/>
      <c r="G1" s="42"/>
      <c r="H1" s="42"/>
      <c r="I1" s="42"/>
      <c r="J1" s="42"/>
      <c r="K1" s="42"/>
      <c r="L1" s="42"/>
      <c r="M1" s="42"/>
      <c r="N1" s="43"/>
      <c r="O1" s="43"/>
      <c r="P1" s="40"/>
      <c r="Q1" s="44"/>
      <c r="R1" s="45"/>
      <c r="S1" s="46"/>
      <c r="T1" s="44"/>
      <c r="U1" s="44"/>
      <c r="V1" s="44"/>
      <c r="W1" s="44"/>
      <c r="X1" s="44"/>
      <c r="Y1" s="44"/>
      <c r="Z1" s="47"/>
      <c r="AA1" s="44"/>
      <c r="AB1" s="44"/>
      <c r="AC1" s="44"/>
      <c r="AD1" s="44"/>
      <c r="AE1" s="44"/>
      <c r="AF1" s="46"/>
      <c r="AG1" s="46"/>
      <c r="AH1" s="46"/>
      <c r="AI1" s="46"/>
    </row>
    <row r="2" spans="1:35" s="48" customFormat="1" ht="24" customHeight="1" thickBot="1">
      <c r="A2" s="37"/>
      <c r="B2" s="38"/>
      <c r="C2" s="39"/>
      <c r="D2" s="37"/>
      <c r="E2" s="41"/>
      <c r="F2" s="42"/>
      <c r="G2" s="42"/>
      <c r="H2" s="42"/>
      <c r="I2" s="42"/>
      <c r="J2" s="42"/>
      <c r="K2" s="42"/>
      <c r="L2" s="42"/>
      <c r="M2" s="42"/>
      <c r="N2" s="43"/>
      <c r="O2" s="43"/>
      <c r="P2" s="40"/>
      <c r="Q2" s="44"/>
      <c r="R2" s="45"/>
      <c r="S2" s="46"/>
      <c r="T2" s="44"/>
      <c r="U2" s="44"/>
      <c r="V2" s="44"/>
      <c r="W2" s="44"/>
      <c r="X2" s="44"/>
      <c r="Y2" s="44"/>
      <c r="Z2" s="47"/>
      <c r="AA2" s="44"/>
      <c r="AB2" s="44"/>
      <c r="AC2" s="44"/>
      <c r="AD2" s="44"/>
      <c r="AE2" s="44"/>
      <c r="AF2" s="49" t="s">
        <v>40</v>
      </c>
      <c r="AG2" s="46"/>
      <c r="AH2" s="46"/>
      <c r="AI2" s="46"/>
    </row>
    <row r="3" spans="1:35" s="56" customFormat="1" ht="46.5" customHeight="1">
      <c r="A3" s="50" t="s">
        <v>89</v>
      </c>
      <c r="B3" s="51" t="s">
        <v>90</v>
      </c>
      <c r="C3" s="51" t="s">
        <v>91</v>
      </c>
      <c r="D3" s="51" t="s">
        <v>92</v>
      </c>
      <c r="E3" s="52" t="s">
        <v>93</v>
      </c>
      <c r="F3" s="53" t="s">
        <v>94</v>
      </c>
      <c r="G3" s="53" t="s">
        <v>95</v>
      </c>
      <c r="H3" s="53" t="s">
        <v>96</v>
      </c>
      <c r="I3" s="53" t="s">
        <v>97</v>
      </c>
      <c r="J3" s="51" t="s">
        <v>98</v>
      </c>
      <c r="K3" s="54" t="s">
        <v>99</v>
      </c>
      <c r="L3" s="53" t="s">
        <v>100</v>
      </c>
      <c r="M3" s="53" t="s">
        <v>101</v>
      </c>
      <c r="N3" s="53" t="s">
        <v>102</v>
      </c>
      <c r="O3" s="53" t="s">
        <v>103</v>
      </c>
      <c r="P3" s="51" t="s">
        <v>104</v>
      </c>
      <c r="Q3" s="51" t="s">
        <v>105</v>
      </c>
      <c r="R3" s="51" t="s">
        <v>106</v>
      </c>
      <c r="S3" s="51" t="s">
        <v>107</v>
      </c>
      <c r="T3" s="51" t="s">
        <v>108</v>
      </c>
      <c r="U3" s="51" t="s">
        <v>109</v>
      </c>
      <c r="V3" s="51" t="s">
        <v>110</v>
      </c>
      <c r="W3" s="51" t="s">
        <v>111</v>
      </c>
      <c r="X3" s="51" t="s">
        <v>112</v>
      </c>
      <c r="Y3" s="51" t="s">
        <v>113</v>
      </c>
      <c r="Z3" s="54" t="s">
        <v>114</v>
      </c>
      <c r="AA3" s="51" t="s">
        <v>115</v>
      </c>
      <c r="AB3" s="51" t="s">
        <v>116</v>
      </c>
      <c r="AC3" s="51" t="s">
        <v>117</v>
      </c>
      <c r="AD3" s="51" t="s">
        <v>118</v>
      </c>
      <c r="AE3" s="51" t="s">
        <v>119</v>
      </c>
      <c r="AF3" s="51" t="s">
        <v>120</v>
      </c>
      <c r="AG3" s="215" t="s">
        <v>121</v>
      </c>
      <c r="AH3" s="225"/>
      <c r="AI3" s="55" t="s">
        <v>122</v>
      </c>
    </row>
    <row r="4" spans="1:35" s="56" customFormat="1" ht="24.75" customHeight="1">
      <c r="A4" s="57">
        <v>1</v>
      </c>
      <c r="B4" s="58" t="s">
        <v>41</v>
      </c>
      <c r="C4" s="58" t="s">
        <v>42</v>
      </c>
      <c r="D4" s="59" t="s">
        <v>123</v>
      </c>
      <c r="E4" s="60">
        <v>1</v>
      </c>
      <c r="F4" s="61">
        <v>1.2</v>
      </c>
      <c r="G4" s="61">
        <v>1.8</v>
      </c>
      <c r="H4" s="62">
        <v>61</v>
      </c>
      <c r="I4" s="62">
        <v>52.7</v>
      </c>
      <c r="J4" s="59">
        <v>51.5</v>
      </c>
      <c r="K4" s="63">
        <v>51.5</v>
      </c>
      <c r="L4" s="64">
        <v>1</v>
      </c>
      <c r="M4" s="64"/>
      <c r="N4" s="65">
        <v>1.2</v>
      </c>
      <c r="O4" s="65">
        <v>4</v>
      </c>
      <c r="P4" s="59">
        <v>8.78509734129338</v>
      </c>
      <c r="Q4" s="59">
        <v>7.320914451077817</v>
      </c>
      <c r="R4" s="66">
        <v>7.75</v>
      </c>
      <c r="S4" s="59">
        <v>1</v>
      </c>
      <c r="T4" s="59">
        <v>8.75</v>
      </c>
      <c r="U4" s="59">
        <v>0.95</v>
      </c>
      <c r="V4" s="59">
        <v>0.24610311000000004</v>
      </c>
      <c r="W4" s="59">
        <v>1.10803324099723</v>
      </c>
      <c r="X4" s="66">
        <v>0.2558410435290693</v>
      </c>
      <c r="Y4" s="59">
        <v>0.20972715011464851</v>
      </c>
      <c r="Z4" s="67">
        <v>1</v>
      </c>
      <c r="AA4" s="59">
        <v>5.35957884</v>
      </c>
      <c r="AB4" s="59" t="s">
        <v>43</v>
      </c>
      <c r="AC4" s="59">
        <v>2.0810920290804824</v>
      </c>
      <c r="AD4" s="59">
        <v>1</v>
      </c>
      <c r="AE4" s="59">
        <v>1.05</v>
      </c>
      <c r="AF4" s="59">
        <v>7.459535000655329</v>
      </c>
      <c r="AG4" s="59"/>
      <c r="AH4" s="59">
        <v>7.22167450045873</v>
      </c>
      <c r="AI4" s="68">
        <v>17.553596714841877</v>
      </c>
    </row>
    <row r="5" spans="1:35" s="56" customFormat="1" ht="24.75" customHeight="1">
      <c r="A5" s="57">
        <v>2</v>
      </c>
      <c r="B5" s="58" t="s">
        <v>44</v>
      </c>
      <c r="C5" s="58" t="s">
        <v>45</v>
      </c>
      <c r="D5" s="59" t="s">
        <v>123</v>
      </c>
      <c r="E5" s="60">
        <v>1</v>
      </c>
      <c r="F5" s="61">
        <v>1.5</v>
      </c>
      <c r="G5" s="61">
        <v>2</v>
      </c>
      <c r="H5" s="62">
        <v>50.64</v>
      </c>
      <c r="I5" s="62">
        <v>52.14</v>
      </c>
      <c r="J5" s="59">
        <v>50.64</v>
      </c>
      <c r="K5" s="59">
        <v>50.64</v>
      </c>
      <c r="L5" s="64">
        <v>1</v>
      </c>
      <c r="M5" s="64"/>
      <c r="N5" s="65">
        <v>1.5</v>
      </c>
      <c r="O5" s="65">
        <v>4</v>
      </c>
      <c r="P5" s="59">
        <v>4.73241418305719</v>
      </c>
      <c r="Q5" s="59">
        <v>3.1549427887047936</v>
      </c>
      <c r="R5" s="59">
        <v>1.7</v>
      </c>
      <c r="S5" s="59">
        <v>1</v>
      </c>
      <c r="T5" s="59">
        <v>2.2</v>
      </c>
      <c r="U5" s="59">
        <v>0.95</v>
      </c>
      <c r="V5" s="59">
        <v>0.07141500000000271</v>
      </c>
      <c r="W5" s="59">
        <v>1.10803324099723</v>
      </c>
      <c r="X5" s="66">
        <v>0.7213053732187427</v>
      </c>
      <c r="Y5" s="59">
        <v>0.027618170677401722</v>
      </c>
      <c r="Z5" s="63">
        <v>0.5835001404537352</v>
      </c>
      <c r="AA5" s="59">
        <v>4.945393638103403</v>
      </c>
      <c r="AB5" s="59" t="s">
        <v>43</v>
      </c>
      <c r="AC5" s="59">
        <v>1.239415180158832</v>
      </c>
      <c r="AD5" s="59">
        <v>0.5</v>
      </c>
      <c r="AE5" s="59">
        <v>1.05</v>
      </c>
      <c r="AF5" s="59">
        <v>4.480964743095941</v>
      </c>
      <c r="AG5" s="59"/>
      <c r="AH5" s="59">
        <v>4.136675320167159</v>
      </c>
      <c r="AI5" s="68">
        <v>7.311100736247085</v>
      </c>
    </row>
    <row r="6" spans="1:35" s="56" customFormat="1" ht="24.75" customHeight="1">
      <c r="A6" s="57">
        <v>3</v>
      </c>
      <c r="B6" s="58" t="s">
        <v>46</v>
      </c>
      <c r="C6" s="58" t="s">
        <v>47</v>
      </c>
      <c r="D6" s="59" t="s">
        <v>123</v>
      </c>
      <c r="E6" s="69">
        <v>1</v>
      </c>
      <c r="F6" s="70">
        <v>2</v>
      </c>
      <c r="G6" s="71">
        <v>2</v>
      </c>
      <c r="H6" s="62">
        <v>50.11</v>
      </c>
      <c r="I6" s="62">
        <v>52.11</v>
      </c>
      <c r="J6" s="62">
        <v>50.11</v>
      </c>
      <c r="K6" s="62">
        <v>50.11</v>
      </c>
      <c r="L6" s="64">
        <v>1</v>
      </c>
      <c r="M6" s="64"/>
      <c r="N6" s="65">
        <v>2</v>
      </c>
      <c r="O6" s="65">
        <v>2</v>
      </c>
      <c r="P6" s="59">
        <v>6.309885577409438</v>
      </c>
      <c r="Q6" s="59">
        <v>3.154942788704719</v>
      </c>
      <c r="R6" s="59">
        <v>1.65</v>
      </c>
      <c r="S6" s="59">
        <v>1</v>
      </c>
      <c r="T6" s="59">
        <v>2.15</v>
      </c>
      <c r="U6" s="59">
        <v>0.95</v>
      </c>
      <c r="V6" s="59">
        <v>0.5078399999999953</v>
      </c>
      <c r="W6" s="59">
        <v>1.10803324099723</v>
      </c>
      <c r="X6" s="66">
        <v>0.4528087981213997</v>
      </c>
      <c r="Y6" s="59">
        <v>0.3327491810700586</v>
      </c>
      <c r="Z6" s="63">
        <v>0.5869344413665885</v>
      </c>
      <c r="AA6" s="59">
        <v>4.702222222222179</v>
      </c>
      <c r="AB6" s="59" t="s">
        <v>43</v>
      </c>
      <c r="AC6" s="59">
        <v>1.5642961138188238</v>
      </c>
      <c r="AD6" s="59">
        <v>0.5</v>
      </c>
      <c r="AE6" s="59">
        <v>1.05</v>
      </c>
      <c r="AF6" s="59">
        <v>6.6536431853498845</v>
      </c>
      <c r="AG6" s="59"/>
      <c r="AH6" s="59">
        <v>5.657550229744919</v>
      </c>
      <c r="AI6" s="68">
        <v>10.149662352604478</v>
      </c>
    </row>
    <row r="7" spans="1:35" s="56" customFormat="1" ht="24.75" customHeight="1">
      <c r="A7" s="57">
        <v>4</v>
      </c>
      <c r="B7" s="58" t="s">
        <v>48</v>
      </c>
      <c r="C7" s="58" t="s">
        <v>49</v>
      </c>
      <c r="D7" s="59" t="s">
        <v>123</v>
      </c>
      <c r="E7" s="69">
        <v>1</v>
      </c>
      <c r="F7" s="70">
        <v>1.5</v>
      </c>
      <c r="G7" s="70">
        <v>1.5</v>
      </c>
      <c r="H7" s="62">
        <v>43.4</v>
      </c>
      <c r="I7" s="62">
        <v>44.9</v>
      </c>
      <c r="J7" s="59">
        <v>43.4</v>
      </c>
      <c r="K7" s="59">
        <v>43.4</v>
      </c>
      <c r="L7" s="64">
        <v>0.5</v>
      </c>
      <c r="M7" s="64"/>
      <c r="N7" s="65">
        <v>1.5</v>
      </c>
      <c r="O7" s="65">
        <v>2</v>
      </c>
      <c r="P7" s="59">
        <v>3.5493106372928924</v>
      </c>
      <c r="Q7" s="59">
        <v>2.366207091528595</v>
      </c>
      <c r="R7" s="59">
        <v>1.2</v>
      </c>
      <c r="S7" s="59">
        <v>0.5</v>
      </c>
      <c r="T7" s="59">
        <v>1.7</v>
      </c>
      <c r="U7" s="59">
        <v>0.95</v>
      </c>
      <c r="V7" s="59">
        <v>0.6427350000000244</v>
      </c>
      <c r="W7" s="59">
        <v>4.43213296398892</v>
      </c>
      <c r="X7" s="66">
        <v>1.0342634338532308</v>
      </c>
      <c r="Y7" s="59">
        <v>0.5459824181129612</v>
      </c>
      <c r="Z7" s="63">
        <v>0.8207756232686645</v>
      </c>
      <c r="AA7" s="59">
        <v>2.645000000000101</v>
      </c>
      <c r="AB7" s="59" t="s">
        <v>43</v>
      </c>
      <c r="AC7" s="59">
        <v>1.0350487600424005</v>
      </c>
      <c r="AD7" s="59">
        <v>0.5</v>
      </c>
      <c r="AE7" s="59">
        <v>1.05</v>
      </c>
      <c r="AF7" s="59">
        <v>3.001836444292564</v>
      </c>
      <c r="AG7" s="59"/>
      <c r="AH7" s="59">
        <v>3.1012855110047948</v>
      </c>
      <c r="AI7" s="68">
        <v>8.95423313094589</v>
      </c>
    </row>
    <row r="8" spans="1:35" s="56" customFormat="1" ht="24.75" customHeight="1">
      <c r="A8" s="57">
        <v>5</v>
      </c>
      <c r="B8" s="58" t="s">
        <v>50</v>
      </c>
      <c r="C8" s="58" t="s">
        <v>51</v>
      </c>
      <c r="D8" s="59" t="s">
        <v>123</v>
      </c>
      <c r="E8" s="69">
        <v>1</v>
      </c>
      <c r="F8" s="61">
        <v>1.5</v>
      </c>
      <c r="G8" s="70">
        <v>1.5</v>
      </c>
      <c r="H8" s="62">
        <v>41.66</v>
      </c>
      <c r="I8" s="62">
        <v>43.16</v>
      </c>
      <c r="J8" s="59">
        <v>41.66</v>
      </c>
      <c r="K8" s="59">
        <v>41.66</v>
      </c>
      <c r="L8" s="64">
        <v>0.5</v>
      </c>
      <c r="M8" s="64"/>
      <c r="N8" s="65">
        <v>1.5</v>
      </c>
      <c r="O8" s="65">
        <v>2</v>
      </c>
      <c r="P8" s="59">
        <v>3.549310637292809</v>
      </c>
      <c r="Q8" s="59">
        <v>2.366207091528539</v>
      </c>
      <c r="R8" s="59">
        <v>0.9</v>
      </c>
      <c r="S8" s="59">
        <v>0.5</v>
      </c>
      <c r="T8" s="59">
        <v>1.2</v>
      </c>
      <c r="U8" s="59">
        <v>0.95</v>
      </c>
      <c r="V8" s="59">
        <v>0.6427349999999941</v>
      </c>
      <c r="W8" s="59">
        <v>4.43213296398892</v>
      </c>
      <c r="X8" s="66">
        <v>1.7288001018286148</v>
      </c>
      <c r="Y8" s="59">
        <v>0.434381661790147</v>
      </c>
      <c r="Z8" s="63">
        <v>0.7054362880886473</v>
      </c>
      <c r="AA8" s="59">
        <v>1.1158593749999894</v>
      </c>
      <c r="AB8" s="59" t="s">
        <v>43</v>
      </c>
      <c r="AC8" s="59">
        <v>0.8005786516894143</v>
      </c>
      <c r="AD8" s="59">
        <v>0.3</v>
      </c>
      <c r="AE8" s="59">
        <v>1.05</v>
      </c>
      <c r="AF8" s="59">
        <v>0.003992696656958595</v>
      </c>
      <c r="AG8" s="59"/>
      <c r="AH8" s="59">
        <v>0.602794887659871</v>
      </c>
      <c r="AI8" s="68">
        <v>7.785184068566961</v>
      </c>
    </row>
    <row r="9" spans="1:35" s="56" customFormat="1" ht="24.75" customHeight="1">
      <c r="A9" s="57">
        <v>6</v>
      </c>
      <c r="B9" s="58" t="s">
        <v>52</v>
      </c>
      <c r="C9" s="58" t="s">
        <v>53</v>
      </c>
      <c r="D9" s="59" t="s">
        <v>123</v>
      </c>
      <c r="E9" s="69">
        <v>1</v>
      </c>
      <c r="F9" s="61">
        <v>1.5</v>
      </c>
      <c r="G9" s="71">
        <v>1.5</v>
      </c>
      <c r="H9" s="62">
        <v>49.61</v>
      </c>
      <c r="I9" s="62">
        <v>51.11</v>
      </c>
      <c r="J9" s="59">
        <v>49.61</v>
      </c>
      <c r="K9" s="59">
        <v>49.61</v>
      </c>
      <c r="L9" s="64">
        <v>0.5</v>
      </c>
      <c r="M9" s="64"/>
      <c r="N9" s="65">
        <v>1.5</v>
      </c>
      <c r="O9" s="65">
        <v>2</v>
      </c>
      <c r="P9" s="59">
        <v>3.5493106372928924</v>
      </c>
      <c r="Q9" s="59">
        <v>2.366207091528595</v>
      </c>
      <c r="R9" s="59">
        <v>0.92</v>
      </c>
      <c r="S9" s="59">
        <v>0.5</v>
      </c>
      <c r="T9" s="59">
        <v>1.42</v>
      </c>
      <c r="U9" s="59">
        <v>0.95</v>
      </c>
      <c r="V9" s="59">
        <v>0.6427350000000244</v>
      </c>
      <c r="W9" s="59">
        <v>4.43213296398892</v>
      </c>
      <c r="X9" s="66">
        <v>1.182663943966224</v>
      </c>
      <c r="Y9" s="59">
        <v>0.5221368676460917</v>
      </c>
      <c r="Z9" s="63">
        <v>0.6708384008916433</v>
      </c>
      <c r="AA9" s="59">
        <v>2.0803641329085902</v>
      </c>
      <c r="AB9" s="59" t="s">
        <v>43</v>
      </c>
      <c r="AC9" s="59">
        <v>0.9679339355673431</v>
      </c>
      <c r="AD9" s="59">
        <v>0.5</v>
      </c>
      <c r="AE9" s="59">
        <v>1.05</v>
      </c>
      <c r="AF9" s="59">
        <v>2.193744155414667</v>
      </c>
      <c r="AG9" s="59"/>
      <c r="AH9" s="59">
        <v>2.535620908790267</v>
      </c>
      <c r="AI9" s="68">
        <v>7.8807256725297306</v>
      </c>
    </row>
    <row r="10" spans="1:35" s="56" customFormat="1" ht="24.75" customHeight="1">
      <c r="A10" s="57">
        <v>7</v>
      </c>
      <c r="B10" s="58" t="s">
        <v>54</v>
      </c>
      <c r="C10" s="58" t="s">
        <v>49</v>
      </c>
      <c r="D10" s="59" t="s">
        <v>123</v>
      </c>
      <c r="E10" s="69">
        <v>1</v>
      </c>
      <c r="F10" s="61">
        <v>1.5</v>
      </c>
      <c r="G10" s="71">
        <v>1.5</v>
      </c>
      <c r="H10" s="62">
        <v>49.1</v>
      </c>
      <c r="I10" s="62">
        <v>50.6</v>
      </c>
      <c r="J10" s="59">
        <v>49.1</v>
      </c>
      <c r="K10" s="59">
        <v>49.1</v>
      </c>
      <c r="L10" s="64">
        <v>0.5</v>
      </c>
      <c r="M10" s="64"/>
      <c r="N10" s="65">
        <v>1.5</v>
      </c>
      <c r="O10" s="65">
        <v>2</v>
      </c>
      <c r="P10" s="59">
        <v>3.5493106372928924</v>
      </c>
      <c r="Q10" s="59">
        <v>2.366207091528595</v>
      </c>
      <c r="R10" s="59">
        <v>0.95</v>
      </c>
      <c r="S10" s="59">
        <v>0.5</v>
      </c>
      <c r="T10" s="59">
        <v>1.45</v>
      </c>
      <c r="U10" s="59">
        <v>0.95</v>
      </c>
      <c r="V10" s="59">
        <v>0.6427350000000244</v>
      </c>
      <c r="W10" s="59">
        <v>4.43213296398892</v>
      </c>
      <c r="X10" s="66">
        <v>1.0342634338532308</v>
      </c>
      <c r="Y10" s="59">
        <v>0.5459824181129612</v>
      </c>
      <c r="Z10" s="63">
        <v>0.5707756232686645</v>
      </c>
      <c r="AA10" s="59">
        <v>2.645000000000101</v>
      </c>
      <c r="AB10" s="59" t="s">
        <v>43</v>
      </c>
      <c r="AC10" s="59">
        <v>1.0350487600424005</v>
      </c>
      <c r="AD10" s="59">
        <v>0.5</v>
      </c>
      <c r="AE10" s="59">
        <v>1.05</v>
      </c>
      <c r="AF10" s="59">
        <v>3.001836444292564</v>
      </c>
      <c r="AG10" s="59"/>
      <c r="AH10" s="59">
        <v>3.1012855110047948</v>
      </c>
      <c r="AI10" s="68">
        <v>8.017833176851777</v>
      </c>
    </row>
    <row r="11" spans="1:35" s="56" customFormat="1" ht="24.75" customHeight="1">
      <c r="A11" s="57">
        <v>8</v>
      </c>
      <c r="B11" s="58" t="s">
        <v>55</v>
      </c>
      <c r="C11" s="58" t="s">
        <v>56</v>
      </c>
      <c r="D11" s="59" t="s">
        <v>123</v>
      </c>
      <c r="E11" s="69">
        <v>1</v>
      </c>
      <c r="F11" s="72">
        <v>0.4</v>
      </c>
      <c r="G11" s="70">
        <v>0.4</v>
      </c>
      <c r="H11" s="62">
        <v>57.44285714285714</v>
      </c>
      <c r="I11" s="62">
        <v>51.84285714285714</v>
      </c>
      <c r="J11" s="62">
        <v>51.44285714285714</v>
      </c>
      <c r="K11" s="62">
        <v>51.44285714285714</v>
      </c>
      <c r="L11" s="64">
        <v>0.4</v>
      </c>
      <c r="M11" s="64">
        <v>6</v>
      </c>
      <c r="N11" s="65">
        <v>0.4</v>
      </c>
      <c r="O11" s="65">
        <v>2</v>
      </c>
      <c r="P11" s="59">
        <v>0.5661397820326718</v>
      </c>
      <c r="Q11" s="59">
        <v>1.4153494550816794</v>
      </c>
      <c r="R11" s="59">
        <v>1.75</v>
      </c>
      <c r="S11" s="59">
        <v>1</v>
      </c>
      <c r="T11" s="59">
        <v>1.75</v>
      </c>
      <c r="U11" s="59">
        <v>0.95</v>
      </c>
      <c r="V11" s="59">
        <v>0.004088192000000014</v>
      </c>
      <c r="W11" s="59">
        <v>1.10803324099723</v>
      </c>
      <c r="X11" s="66">
        <v>2.1383425349144307</v>
      </c>
      <c r="Y11" s="59">
        <v>-0.004212102212917963</v>
      </c>
      <c r="Z11" s="63">
        <v>0.30553168635874917</v>
      </c>
      <c r="AA11" s="59">
        <v>9.311661807580203</v>
      </c>
      <c r="AB11" s="59" t="s">
        <v>124</v>
      </c>
      <c r="AC11" s="59">
        <v>0.8</v>
      </c>
      <c r="AD11" s="59"/>
      <c r="AE11" s="59"/>
      <c r="AF11" s="59"/>
      <c r="AG11" s="59"/>
      <c r="AH11" s="59" t="s">
        <v>57</v>
      </c>
      <c r="AI11" s="68">
        <v>3.150936610755426</v>
      </c>
    </row>
    <row r="12" spans="1:35" s="56" customFormat="1" ht="24.75" customHeight="1">
      <c r="A12" s="57">
        <v>9</v>
      </c>
      <c r="B12" s="58" t="s">
        <v>58</v>
      </c>
      <c r="C12" s="58" t="s">
        <v>59</v>
      </c>
      <c r="D12" s="59" t="s">
        <v>123</v>
      </c>
      <c r="E12" s="69">
        <v>1</v>
      </c>
      <c r="F12" s="72">
        <v>0.4</v>
      </c>
      <c r="G12" s="70">
        <v>0.4</v>
      </c>
      <c r="H12" s="62">
        <v>57.13</v>
      </c>
      <c r="I12" s="62">
        <v>51.53</v>
      </c>
      <c r="J12" s="62">
        <v>51.13</v>
      </c>
      <c r="K12" s="62">
        <v>51.13</v>
      </c>
      <c r="L12" s="64">
        <v>0.4</v>
      </c>
      <c r="M12" s="64">
        <v>6</v>
      </c>
      <c r="N12" s="65">
        <v>0.4</v>
      </c>
      <c r="O12" s="65">
        <v>2</v>
      </c>
      <c r="P12" s="59">
        <v>0.5510400000000019</v>
      </c>
      <c r="Q12" s="59">
        <v>1.3776000000000046</v>
      </c>
      <c r="R12" s="59">
        <v>1.7</v>
      </c>
      <c r="S12" s="59">
        <v>1</v>
      </c>
      <c r="T12" s="59">
        <v>1.7</v>
      </c>
      <c r="U12" s="59">
        <v>0.95</v>
      </c>
      <c r="V12" s="59">
        <v>0.0038730240000000257</v>
      </c>
      <c r="W12" s="59">
        <v>1.10803324099723</v>
      </c>
      <c r="X12" s="66">
        <v>2.1629686517693028</v>
      </c>
      <c r="Y12" s="59">
        <v>-0.004085790164370123</v>
      </c>
      <c r="Z12" s="63">
        <v>0.22831298519201515</v>
      </c>
      <c r="AA12" s="59">
        <v>9.838500228623749</v>
      </c>
      <c r="AB12" s="59" t="s">
        <v>124</v>
      </c>
      <c r="AC12" s="59">
        <v>0.7157333965310342</v>
      </c>
      <c r="AD12" s="59"/>
      <c r="AE12" s="59"/>
      <c r="AF12" s="59"/>
      <c r="AG12" s="59"/>
      <c r="AH12" s="59" t="s">
        <v>57</v>
      </c>
      <c r="AI12" s="68">
        <v>3.0554739576180494</v>
      </c>
    </row>
    <row r="13" spans="1:35" s="56" customFormat="1" ht="24.75" customHeight="1">
      <c r="A13" s="57">
        <v>10</v>
      </c>
      <c r="B13" s="58" t="s">
        <v>60</v>
      </c>
      <c r="C13" s="58" t="s">
        <v>61</v>
      </c>
      <c r="D13" s="59" t="s">
        <v>123</v>
      </c>
      <c r="E13" s="73">
        <v>1</v>
      </c>
      <c r="F13" s="72">
        <v>0.4</v>
      </c>
      <c r="G13" s="70">
        <v>0.4</v>
      </c>
      <c r="H13" s="62">
        <v>57.12</v>
      </c>
      <c r="I13" s="62">
        <v>51.52</v>
      </c>
      <c r="J13" s="74">
        <v>51.12</v>
      </c>
      <c r="K13" s="74">
        <v>51.12</v>
      </c>
      <c r="L13" s="64">
        <v>0.4</v>
      </c>
      <c r="M13" s="64">
        <v>6</v>
      </c>
      <c r="N13" s="65">
        <v>0.4</v>
      </c>
      <c r="O13" s="65">
        <v>2</v>
      </c>
      <c r="P13" s="59">
        <v>0.4682939521283609</v>
      </c>
      <c r="Q13" s="59">
        <v>1.1707348803209021</v>
      </c>
      <c r="R13" s="59">
        <v>1.65</v>
      </c>
      <c r="S13" s="59">
        <v>1</v>
      </c>
      <c r="T13" s="59">
        <v>1.65</v>
      </c>
      <c r="U13" s="59">
        <v>0.95</v>
      </c>
      <c r="V13" s="59">
        <v>0.0027971839999999942</v>
      </c>
      <c r="W13" s="59">
        <v>1.10803324099723</v>
      </c>
      <c r="X13" s="66">
        <v>2.437756272301749</v>
      </c>
      <c r="Y13" s="59">
        <v>-0.003719479987596492</v>
      </c>
      <c r="Z13" s="63">
        <v>0.11944550459970937</v>
      </c>
      <c r="AA13" s="59">
        <v>12.27844828532233</v>
      </c>
      <c r="AB13" s="59" t="s">
        <v>124</v>
      </c>
      <c r="AC13" s="59">
        <v>0.6741883652360038</v>
      </c>
      <c r="AD13" s="59"/>
      <c r="AE13" s="59"/>
      <c r="AF13" s="59"/>
      <c r="AG13" s="59"/>
      <c r="AH13" s="59" t="s">
        <v>57</v>
      </c>
      <c r="AI13" s="68">
        <v>2.765031781310508</v>
      </c>
    </row>
    <row r="14" spans="1:35" s="56" customFormat="1" ht="24.75" customHeight="1">
      <c r="A14" s="57">
        <v>11</v>
      </c>
      <c r="B14" s="58" t="s">
        <v>62</v>
      </c>
      <c r="C14" s="58" t="s">
        <v>63</v>
      </c>
      <c r="D14" s="59" t="s">
        <v>123</v>
      </c>
      <c r="E14" s="73">
        <v>1</v>
      </c>
      <c r="F14" s="72">
        <v>0.8</v>
      </c>
      <c r="G14" s="70">
        <v>0.8</v>
      </c>
      <c r="H14" s="62">
        <v>55.5</v>
      </c>
      <c r="I14" s="62">
        <v>50.3</v>
      </c>
      <c r="J14" s="74">
        <v>49.5</v>
      </c>
      <c r="K14" s="74">
        <v>49.5</v>
      </c>
      <c r="L14" s="64">
        <v>0.8</v>
      </c>
      <c r="M14" s="64">
        <v>6</v>
      </c>
      <c r="N14" s="65">
        <v>0.8</v>
      </c>
      <c r="O14" s="65">
        <v>2</v>
      </c>
      <c r="P14" s="59">
        <v>1.7230711335287308</v>
      </c>
      <c r="Q14" s="59">
        <v>2.1538389169109133</v>
      </c>
      <c r="R14" s="59">
        <v>1.55</v>
      </c>
      <c r="S14" s="59">
        <v>1</v>
      </c>
      <c r="T14" s="59">
        <v>1.55</v>
      </c>
      <c r="U14" s="59">
        <v>0.95</v>
      </c>
      <c r="V14" s="59">
        <v>0.03786956799999981</v>
      </c>
      <c r="W14" s="59">
        <v>1.10803324099723</v>
      </c>
      <c r="X14" s="66">
        <v>1.3280461521259364</v>
      </c>
      <c r="Y14" s="59">
        <v>-0.008331793898866461</v>
      </c>
      <c r="Z14" s="63">
        <v>0.5009814958448808</v>
      </c>
      <c r="AA14" s="59">
        <v>3.7869567999999805</v>
      </c>
      <c r="AB14" s="59" t="s">
        <v>124</v>
      </c>
      <c r="AC14" s="59">
        <v>0.9134185155730699</v>
      </c>
      <c r="AD14" s="59"/>
      <c r="AE14" s="59"/>
      <c r="AF14" s="59"/>
      <c r="AG14" s="59"/>
      <c r="AH14" s="59" t="s">
        <v>57</v>
      </c>
      <c r="AI14" s="68">
        <v>5.086918615980485</v>
      </c>
    </row>
    <row r="15" spans="1:35" s="56" customFormat="1" ht="24.75" customHeight="1">
      <c r="A15" s="57">
        <v>12</v>
      </c>
      <c r="B15" s="58" t="s">
        <v>64</v>
      </c>
      <c r="C15" s="58" t="s">
        <v>65</v>
      </c>
      <c r="D15" s="59" t="s">
        <v>123</v>
      </c>
      <c r="E15" s="73">
        <v>1</v>
      </c>
      <c r="F15" s="72">
        <v>0.5</v>
      </c>
      <c r="G15" s="70">
        <v>0.5</v>
      </c>
      <c r="H15" s="62">
        <v>49.4</v>
      </c>
      <c r="I15" s="62">
        <v>43.9</v>
      </c>
      <c r="J15" s="74">
        <v>43.4</v>
      </c>
      <c r="K15" s="74">
        <v>43.4</v>
      </c>
      <c r="L15" s="64">
        <v>0.5</v>
      </c>
      <c r="M15" s="64">
        <v>6</v>
      </c>
      <c r="N15" s="65">
        <v>0.5</v>
      </c>
      <c r="O15" s="65">
        <v>2</v>
      </c>
      <c r="P15" s="59">
        <v>0.5740000000000041</v>
      </c>
      <c r="Q15" s="59">
        <v>1.1480000000000081</v>
      </c>
      <c r="R15" s="59">
        <v>1.2</v>
      </c>
      <c r="S15" s="59">
        <v>0.8</v>
      </c>
      <c r="T15" s="59">
        <v>1.2</v>
      </c>
      <c r="U15" s="59">
        <v>0.95</v>
      </c>
      <c r="V15" s="59">
        <v>0.006566406250000092</v>
      </c>
      <c r="W15" s="59">
        <v>1.7313019390581714</v>
      </c>
      <c r="X15" s="66">
        <v>3.388819458262218</v>
      </c>
      <c r="Y15" s="59">
        <v>-0.0069657173744551056</v>
      </c>
      <c r="Z15" s="63">
        <v>0.37217605417050226</v>
      </c>
      <c r="AA15" s="59">
        <v>4.980740740740811</v>
      </c>
      <c r="AB15" s="59" t="s">
        <v>124</v>
      </c>
      <c r="AC15" s="59">
        <v>0.5718105694265951</v>
      </c>
      <c r="AD15" s="59"/>
      <c r="AE15" s="59"/>
      <c r="AF15" s="59"/>
      <c r="AG15" s="59"/>
      <c r="AH15" s="59" t="s">
        <v>57</v>
      </c>
      <c r="AI15" s="68">
        <v>2.857999859379804</v>
      </c>
    </row>
    <row r="16" spans="1:35" s="56" customFormat="1" ht="24.75" customHeight="1">
      <c r="A16" s="57">
        <v>13</v>
      </c>
      <c r="B16" s="58" t="s">
        <v>66</v>
      </c>
      <c r="C16" s="58" t="s">
        <v>67</v>
      </c>
      <c r="D16" s="59" t="s">
        <v>123</v>
      </c>
      <c r="E16" s="73">
        <v>1</v>
      </c>
      <c r="F16" s="72">
        <v>0.8</v>
      </c>
      <c r="G16" s="70">
        <v>0.8</v>
      </c>
      <c r="H16" s="62">
        <v>48.1</v>
      </c>
      <c r="I16" s="62">
        <v>42.9</v>
      </c>
      <c r="J16" s="74">
        <v>42.1</v>
      </c>
      <c r="K16" s="74">
        <v>42.1</v>
      </c>
      <c r="L16" s="64">
        <v>0.8</v>
      </c>
      <c r="M16" s="64">
        <v>6</v>
      </c>
      <c r="N16" s="65">
        <v>0.8</v>
      </c>
      <c r="O16" s="65">
        <v>2</v>
      </c>
      <c r="P16" s="59">
        <v>0.7347200000000053</v>
      </c>
      <c r="Q16" s="59">
        <v>0.9184000000000065</v>
      </c>
      <c r="R16" s="59">
        <v>0.9</v>
      </c>
      <c r="S16" s="59">
        <v>0.8</v>
      </c>
      <c r="T16" s="59">
        <v>0.9</v>
      </c>
      <c r="U16" s="59">
        <v>0.95</v>
      </c>
      <c r="V16" s="59">
        <v>0.010758400000000154</v>
      </c>
      <c r="W16" s="59">
        <v>1.7313019390581714</v>
      </c>
      <c r="X16" s="66">
        <v>3.847561240474507</v>
      </c>
      <c r="Y16" s="59">
        <v>-0.01457124100374901</v>
      </c>
      <c r="Z16" s="63">
        <v>0.24591688230755737</v>
      </c>
      <c r="AA16" s="59">
        <v>4.372666768277255</v>
      </c>
      <c r="AB16" s="59" t="s">
        <v>124</v>
      </c>
      <c r="AC16" s="59">
        <v>0.5366407206846667</v>
      </c>
      <c r="AD16" s="59"/>
      <c r="AE16" s="59"/>
      <c r="AF16" s="59"/>
      <c r="AG16" s="59"/>
      <c r="AH16" s="59" t="s">
        <v>57</v>
      </c>
      <c r="AI16" s="68">
        <v>2.286399887503843</v>
      </c>
    </row>
    <row r="17" spans="1:35" s="56" customFormat="1" ht="24.75" customHeight="1">
      <c r="A17" s="57">
        <v>14</v>
      </c>
      <c r="B17" s="58" t="s">
        <v>68</v>
      </c>
      <c r="C17" s="58" t="s">
        <v>69</v>
      </c>
      <c r="D17" s="59" t="s">
        <v>123</v>
      </c>
      <c r="E17" s="73">
        <v>1</v>
      </c>
      <c r="F17" s="72">
        <v>0.4</v>
      </c>
      <c r="G17" s="70">
        <v>0.4</v>
      </c>
      <c r="H17" s="62">
        <v>56.6</v>
      </c>
      <c r="I17" s="62">
        <v>51</v>
      </c>
      <c r="J17" s="74">
        <v>50.6</v>
      </c>
      <c r="K17" s="74">
        <v>50.6</v>
      </c>
      <c r="L17" s="64">
        <v>0.4</v>
      </c>
      <c r="M17" s="64">
        <v>6</v>
      </c>
      <c r="N17" s="65">
        <v>0.4</v>
      </c>
      <c r="O17" s="65">
        <v>2</v>
      </c>
      <c r="P17" s="59">
        <v>0.5951912257417771</v>
      </c>
      <c r="Q17" s="59">
        <v>1.4879780643544427</v>
      </c>
      <c r="R17" s="59">
        <v>1.55</v>
      </c>
      <c r="S17" s="59">
        <v>0.5</v>
      </c>
      <c r="T17" s="59">
        <v>1.55</v>
      </c>
      <c r="U17" s="59">
        <v>0.95</v>
      </c>
      <c r="V17" s="59">
        <v>0.018074111999999948</v>
      </c>
      <c r="W17" s="59">
        <v>4.43213296398892</v>
      </c>
      <c r="X17" s="66">
        <v>2.099235560988848</v>
      </c>
      <c r="Y17" s="59">
        <v>0.010541262236583079</v>
      </c>
      <c r="Z17" s="63">
        <v>0.15925577100646726</v>
      </c>
      <c r="AA17" s="59">
        <v>8.367644444444421</v>
      </c>
      <c r="AB17" s="59" t="s">
        <v>124</v>
      </c>
      <c r="AC17" s="59">
        <v>0.7265170441939376</v>
      </c>
      <c r="AD17" s="59"/>
      <c r="AE17" s="59"/>
      <c r="AF17" s="59"/>
      <c r="AG17" s="59"/>
      <c r="AH17" s="59"/>
      <c r="AI17" s="68">
        <v>4.0579572451628</v>
      </c>
    </row>
    <row r="18" spans="1:35" s="56" customFormat="1" ht="24.75" customHeight="1">
      <c r="A18" s="57">
        <v>15</v>
      </c>
      <c r="B18" s="58" t="s">
        <v>70</v>
      </c>
      <c r="C18" s="58" t="s">
        <v>71</v>
      </c>
      <c r="D18" s="59" t="s">
        <v>123</v>
      </c>
      <c r="E18" s="73">
        <v>1</v>
      </c>
      <c r="F18" s="72">
        <v>0.4</v>
      </c>
      <c r="G18" s="70">
        <v>0.4</v>
      </c>
      <c r="H18" s="62">
        <v>56.3</v>
      </c>
      <c r="I18" s="62">
        <v>50.7</v>
      </c>
      <c r="J18" s="74">
        <v>50.3</v>
      </c>
      <c r="K18" s="74">
        <v>50.3</v>
      </c>
      <c r="L18" s="64">
        <v>0.4</v>
      </c>
      <c r="M18" s="64">
        <v>6</v>
      </c>
      <c r="N18" s="65">
        <v>0.4</v>
      </c>
      <c r="O18" s="65">
        <v>2</v>
      </c>
      <c r="P18" s="59">
        <v>0.4307677833821827</v>
      </c>
      <c r="Q18" s="59">
        <v>1.0769194584554567</v>
      </c>
      <c r="R18" s="59">
        <v>1.25</v>
      </c>
      <c r="S18" s="59">
        <v>0.7</v>
      </c>
      <c r="T18" s="59">
        <v>1.25</v>
      </c>
      <c r="U18" s="59">
        <v>0.95</v>
      </c>
      <c r="V18" s="59">
        <v>0.004830302040816303</v>
      </c>
      <c r="W18" s="59">
        <v>2.2612923285657756</v>
      </c>
      <c r="X18" s="66">
        <v>3.3813381717932423</v>
      </c>
      <c r="Y18" s="59">
        <v>-0.00265097826395123</v>
      </c>
      <c r="Z18" s="63">
        <v>0.2009814958448808</v>
      </c>
      <c r="AA18" s="59">
        <v>7.573913599999961</v>
      </c>
      <c r="AB18" s="59" t="s">
        <v>124</v>
      </c>
      <c r="AC18" s="59">
        <v>0.5724427917668476</v>
      </c>
      <c r="AD18" s="59"/>
      <c r="AE18" s="59"/>
      <c r="AF18" s="59"/>
      <c r="AG18" s="59"/>
      <c r="AH18" s="59" t="s">
        <v>57</v>
      </c>
      <c r="AI18" s="68">
        <v>2.7587689606272288</v>
      </c>
    </row>
    <row r="19" spans="1:35" s="56" customFormat="1" ht="24.75" customHeight="1">
      <c r="A19" s="57">
        <v>16</v>
      </c>
      <c r="B19" s="58" t="s">
        <v>72</v>
      </c>
      <c r="C19" s="58" t="s">
        <v>73</v>
      </c>
      <c r="D19" s="59" t="s">
        <v>123</v>
      </c>
      <c r="E19" s="73">
        <v>1</v>
      </c>
      <c r="F19" s="72">
        <v>0.4</v>
      </c>
      <c r="G19" s="70">
        <v>0.4</v>
      </c>
      <c r="H19" s="62">
        <v>56.2</v>
      </c>
      <c r="I19" s="62">
        <v>50.6</v>
      </c>
      <c r="J19" s="74">
        <v>50.2</v>
      </c>
      <c r="K19" s="74">
        <v>50.2</v>
      </c>
      <c r="L19" s="64">
        <v>0.4</v>
      </c>
      <c r="M19" s="64">
        <v>6</v>
      </c>
      <c r="N19" s="65">
        <v>0.4</v>
      </c>
      <c r="O19" s="65">
        <v>2</v>
      </c>
      <c r="P19" s="59">
        <v>0.36735999999999935</v>
      </c>
      <c r="Q19" s="59">
        <v>0.9183999999999983</v>
      </c>
      <c r="R19" s="59">
        <v>1.1</v>
      </c>
      <c r="S19" s="59">
        <v>0.6</v>
      </c>
      <c r="T19" s="59">
        <v>1.1</v>
      </c>
      <c r="U19" s="59">
        <v>0.95</v>
      </c>
      <c r="V19" s="59">
        <v>0.004781511111111095</v>
      </c>
      <c r="W19" s="59">
        <v>3.0778701138811946</v>
      </c>
      <c r="X19" s="66">
        <v>4.31542346719663</v>
      </c>
      <c r="Y19" s="59">
        <v>-0.0021302550394093965</v>
      </c>
      <c r="Z19" s="63">
        <v>0.19862647864313399</v>
      </c>
      <c r="AA19" s="59">
        <v>7.073822634996275</v>
      </c>
      <c r="AB19" s="59" t="s">
        <v>124</v>
      </c>
      <c r="AC19" s="59">
        <v>0.5067160787721904</v>
      </c>
      <c r="AD19" s="59"/>
      <c r="AE19" s="59"/>
      <c r="AF19" s="59"/>
      <c r="AG19" s="59"/>
      <c r="AH19" s="59" t="s">
        <v>57</v>
      </c>
      <c r="AI19" s="68">
        <v>2.5642239638723945</v>
      </c>
    </row>
    <row r="20" spans="1:35" s="56" customFormat="1" ht="24.75" customHeight="1">
      <c r="A20" s="57">
        <v>17</v>
      </c>
      <c r="B20" s="58" t="s">
        <v>74</v>
      </c>
      <c r="C20" s="58" t="s">
        <v>49</v>
      </c>
      <c r="D20" s="59" t="s">
        <v>123</v>
      </c>
      <c r="E20" s="73">
        <v>1</v>
      </c>
      <c r="F20" s="72">
        <v>0.4</v>
      </c>
      <c r="G20" s="70">
        <v>0.4</v>
      </c>
      <c r="H20" s="62">
        <v>55.1</v>
      </c>
      <c r="I20" s="62">
        <v>49.5</v>
      </c>
      <c r="J20" s="74">
        <v>49.1</v>
      </c>
      <c r="K20" s="74">
        <v>49.1</v>
      </c>
      <c r="L20" s="64">
        <v>0.4</v>
      </c>
      <c r="M20" s="64">
        <v>6</v>
      </c>
      <c r="N20" s="65">
        <v>0.4</v>
      </c>
      <c r="O20" s="65">
        <v>2</v>
      </c>
      <c r="P20" s="59">
        <v>0.34363381440131957</v>
      </c>
      <c r="Q20" s="59">
        <v>0.8590845360032989</v>
      </c>
      <c r="R20" s="59">
        <v>0.95</v>
      </c>
      <c r="S20" s="59">
        <v>0.6</v>
      </c>
      <c r="T20" s="59">
        <v>0.95</v>
      </c>
      <c r="U20" s="59">
        <v>0.95</v>
      </c>
      <c r="V20" s="59">
        <v>0.004183822222222242</v>
      </c>
      <c r="W20" s="59">
        <v>3.0778701138811946</v>
      </c>
      <c r="X20" s="66">
        <v>5.667410455801478</v>
      </c>
      <c r="Y20" s="59">
        <v>-0.0039003035140321423</v>
      </c>
      <c r="Z20" s="63">
        <v>0.28244277008309937</v>
      </c>
      <c r="AA20" s="59">
        <v>4.819763200000022</v>
      </c>
      <c r="AB20" s="59" t="s">
        <v>124</v>
      </c>
      <c r="AC20" s="59">
        <v>0.44216469311303536</v>
      </c>
      <c r="AD20" s="59"/>
      <c r="AE20" s="59"/>
      <c r="AF20" s="59"/>
      <c r="AG20" s="59"/>
      <c r="AH20" s="59" t="s">
        <v>57</v>
      </c>
      <c r="AI20" s="68">
        <v>2.2684670624929546</v>
      </c>
    </row>
    <row r="21" spans="1:35" s="56" customFormat="1" ht="24.75" customHeight="1">
      <c r="A21" s="57">
        <v>18</v>
      </c>
      <c r="B21" s="58" t="s">
        <v>75</v>
      </c>
      <c r="C21" s="58" t="s">
        <v>76</v>
      </c>
      <c r="D21" s="59" t="s">
        <v>123</v>
      </c>
      <c r="E21" s="73">
        <v>1</v>
      </c>
      <c r="F21" s="72">
        <v>0.4</v>
      </c>
      <c r="G21" s="70">
        <v>0.4</v>
      </c>
      <c r="H21" s="62">
        <v>54.8</v>
      </c>
      <c r="I21" s="62">
        <v>49.2</v>
      </c>
      <c r="J21" s="74">
        <v>48.8</v>
      </c>
      <c r="K21" s="74">
        <v>48.8</v>
      </c>
      <c r="L21" s="64">
        <v>0.4</v>
      </c>
      <c r="M21" s="64">
        <v>6</v>
      </c>
      <c r="N21" s="65">
        <v>0.4</v>
      </c>
      <c r="O21" s="65">
        <v>2</v>
      </c>
      <c r="P21" s="59">
        <v>0.3181430923342499</v>
      </c>
      <c r="Q21" s="59">
        <v>0.7953577308356248</v>
      </c>
      <c r="R21" s="59">
        <v>0.8</v>
      </c>
      <c r="S21" s="59">
        <v>0.5</v>
      </c>
      <c r="T21" s="59">
        <v>0.8</v>
      </c>
      <c r="U21" s="59">
        <v>0.95</v>
      </c>
      <c r="V21" s="59">
        <v>0.005164031999999952</v>
      </c>
      <c r="W21" s="59">
        <v>4.43213296398892</v>
      </c>
      <c r="X21" s="66">
        <v>7.2016192445582465</v>
      </c>
      <c r="Y21" s="59">
        <v>-0.003575428944105212</v>
      </c>
      <c r="Z21" s="63">
        <v>0.27097641331607314</v>
      </c>
      <c r="AA21" s="59">
        <v>3.672644515248031</v>
      </c>
      <c r="AB21" s="59" t="s">
        <v>124</v>
      </c>
      <c r="AC21" s="59">
        <v>0.3922485227301804</v>
      </c>
      <c r="AD21" s="59"/>
      <c r="AE21" s="59"/>
      <c r="AF21" s="59"/>
      <c r="AG21" s="59"/>
      <c r="AH21" s="59" t="s">
        <v>57</v>
      </c>
      <c r="AI21" s="68">
        <v>2.1690693859394576</v>
      </c>
    </row>
    <row r="22" spans="1:35" s="56" customFormat="1" ht="24.75" customHeight="1">
      <c r="A22" s="57">
        <v>19</v>
      </c>
      <c r="B22" s="58" t="s">
        <v>77</v>
      </c>
      <c r="C22" s="58" t="s">
        <v>67</v>
      </c>
      <c r="D22" s="59" t="s">
        <v>123</v>
      </c>
      <c r="E22" s="73">
        <v>1</v>
      </c>
      <c r="F22" s="71">
        <v>0.8</v>
      </c>
      <c r="G22" s="70">
        <v>0.8</v>
      </c>
      <c r="H22" s="62">
        <v>51.42</v>
      </c>
      <c r="I22" s="62">
        <v>46.22</v>
      </c>
      <c r="J22" s="74">
        <v>45.42</v>
      </c>
      <c r="K22" s="74">
        <v>45.42</v>
      </c>
      <c r="L22" s="64">
        <v>0.7</v>
      </c>
      <c r="M22" s="64">
        <v>6</v>
      </c>
      <c r="N22" s="65">
        <v>0.8</v>
      </c>
      <c r="O22" s="65">
        <v>2</v>
      </c>
      <c r="P22" s="59">
        <v>0.6428799999999816</v>
      </c>
      <c r="Q22" s="59">
        <v>0.8035999999999769</v>
      </c>
      <c r="R22" s="59">
        <v>0.8</v>
      </c>
      <c r="S22" s="59">
        <v>0.7</v>
      </c>
      <c r="T22" s="59">
        <v>0.8</v>
      </c>
      <c r="U22" s="59">
        <v>0.95</v>
      </c>
      <c r="V22" s="59">
        <v>0.010758399999999385</v>
      </c>
      <c r="W22" s="59">
        <v>2.2612923285657756</v>
      </c>
      <c r="X22" s="66">
        <v>4.969855419508642</v>
      </c>
      <c r="Y22" s="59">
        <v>-0.014278504527223049</v>
      </c>
      <c r="Z22" s="63">
        <v>0.25995508859351735</v>
      </c>
      <c r="AA22" s="59">
        <v>3.749157942648851</v>
      </c>
      <c r="AB22" s="59" t="s">
        <v>124</v>
      </c>
      <c r="AC22" s="59">
        <v>0.4721766617124145</v>
      </c>
      <c r="AD22" s="59"/>
      <c r="AE22" s="59"/>
      <c r="AF22" s="59"/>
      <c r="AG22" s="59"/>
      <c r="AH22" s="59" t="s">
        <v>57</v>
      </c>
      <c r="AI22" s="68">
        <v>2.200736307504218</v>
      </c>
    </row>
    <row r="23" spans="1:35" s="56" customFormat="1" ht="24.75" customHeight="1">
      <c r="A23" s="57">
        <v>20</v>
      </c>
      <c r="B23" s="58" t="s">
        <v>78</v>
      </c>
      <c r="C23" s="58" t="s">
        <v>79</v>
      </c>
      <c r="D23" s="59" t="s">
        <v>123</v>
      </c>
      <c r="E23" s="73">
        <v>1</v>
      </c>
      <c r="F23" s="71">
        <v>2.5</v>
      </c>
      <c r="G23" s="71"/>
      <c r="H23" s="62">
        <v>52.94</v>
      </c>
      <c r="I23" s="75">
        <v>51.8</v>
      </c>
      <c r="J23" s="74">
        <v>51.24</v>
      </c>
      <c r="K23" s="63">
        <v>50.44</v>
      </c>
      <c r="L23" s="64">
        <v>0.5</v>
      </c>
      <c r="M23" s="64"/>
      <c r="N23" s="65">
        <v>2.5</v>
      </c>
      <c r="O23" s="65">
        <v>2</v>
      </c>
      <c r="P23" s="59">
        <v>4.917203542309439</v>
      </c>
      <c r="Q23" s="59">
        <v>1.9668814169237756</v>
      </c>
      <c r="R23" s="59">
        <v>1.7</v>
      </c>
      <c r="S23" s="59">
        <v>0.5</v>
      </c>
      <c r="T23" s="59">
        <v>2.3</v>
      </c>
      <c r="U23" s="59">
        <v>0.95</v>
      </c>
      <c r="V23" s="59">
        <v>1.233616871250025</v>
      </c>
      <c r="W23" s="59">
        <v>4.43213296398892</v>
      </c>
      <c r="X23" s="66">
        <v>0.5979306791936858</v>
      </c>
      <c r="Y23" s="59">
        <v>1.1824841565771984</v>
      </c>
      <c r="Z23" s="63">
        <v>0.7024677867055946</v>
      </c>
      <c r="AA23" s="59">
        <v>7.793366608098396</v>
      </c>
      <c r="AB23" s="59" t="s">
        <v>43</v>
      </c>
      <c r="AC23" s="59">
        <v>1.3612910090067856</v>
      </c>
      <c r="AD23" s="59">
        <v>0.6</v>
      </c>
      <c r="AE23" s="59">
        <v>1.05</v>
      </c>
      <c r="AF23" s="59">
        <v>6.839907962146821</v>
      </c>
      <c r="AG23" s="59"/>
      <c r="AH23" s="59">
        <v>5.987935573502774</v>
      </c>
      <c r="AI23" s="68">
        <v>12.059693951267102</v>
      </c>
    </row>
    <row r="24" spans="1:35" s="56" customFormat="1" ht="24.75" customHeight="1">
      <c r="A24" s="57">
        <v>21</v>
      </c>
      <c r="B24" s="58" t="s">
        <v>80</v>
      </c>
      <c r="C24" s="58" t="s">
        <v>81</v>
      </c>
      <c r="D24" s="59" t="s">
        <v>123</v>
      </c>
      <c r="E24" s="73">
        <v>1</v>
      </c>
      <c r="F24" s="71">
        <v>2</v>
      </c>
      <c r="G24" s="71"/>
      <c r="H24" s="62">
        <v>52.06</v>
      </c>
      <c r="I24" s="75">
        <v>51.15</v>
      </c>
      <c r="J24" s="74">
        <v>50.36</v>
      </c>
      <c r="K24" s="63">
        <v>50.06</v>
      </c>
      <c r="L24" s="64">
        <v>0.5</v>
      </c>
      <c r="M24" s="64"/>
      <c r="N24" s="65">
        <v>2</v>
      </c>
      <c r="O24" s="65">
        <v>2</v>
      </c>
      <c r="P24" s="59">
        <v>2.8055175144062274</v>
      </c>
      <c r="Q24" s="59">
        <v>1.4027587572031137</v>
      </c>
      <c r="R24" s="59">
        <v>1.55</v>
      </c>
      <c r="S24" s="59">
        <v>0.5</v>
      </c>
      <c r="T24" s="59">
        <v>2.05</v>
      </c>
      <c r="U24" s="59">
        <v>0.95</v>
      </c>
      <c r="V24" s="59">
        <v>0.40157798590000493</v>
      </c>
      <c r="W24" s="59">
        <v>4.43213296398892</v>
      </c>
      <c r="X24" s="66">
        <v>0.8399449000713861</v>
      </c>
      <c r="Y24" s="59">
        <v>0.3606359119205103</v>
      </c>
      <c r="Z24" s="63">
        <v>0.27015297108031033</v>
      </c>
      <c r="AA24" s="59">
        <v>12.850495548800158</v>
      </c>
      <c r="AB24" s="59" t="s">
        <v>43</v>
      </c>
      <c r="AC24" s="59">
        <v>1.14855288213722</v>
      </c>
      <c r="AD24" s="59">
        <v>0.5</v>
      </c>
      <c r="AE24" s="59">
        <v>1.05</v>
      </c>
      <c r="AF24" s="59">
        <v>6.200014886746818</v>
      </c>
      <c r="AG24" s="59"/>
      <c r="AH24" s="59">
        <v>5.340010420722772</v>
      </c>
      <c r="AI24" s="68">
        <v>8.810198611639041</v>
      </c>
    </row>
    <row r="25" spans="1:35" s="56" customFormat="1" ht="24.75" customHeight="1">
      <c r="A25" s="57">
        <v>22</v>
      </c>
      <c r="B25" s="58" t="s">
        <v>125</v>
      </c>
      <c r="C25" s="58" t="s">
        <v>82</v>
      </c>
      <c r="D25" s="59" t="s">
        <v>126</v>
      </c>
      <c r="E25" s="73">
        <v>1</v>
      </c>
      <c r="F25" s="71">
        <v>1.5</v>
      </c>
      <c r="G25" s="71">
        <v>2</v>
      </c>
      <c r="H25" s="62">
        <v>50.69</v>
      </c>
      <c r="I25" s="76">
        <v>47.61</v>
      </c>
      <c r="J25" s="74">
        <v>49.49</v>
      </c>
      <c r="K25" s="77">
        <v>46.61</v>
      </c>
      <c r="L25" s="64">
        <v>0.5</v>
      </c>
      <c r="M25" s="64"/>
      <c r="N25" s="65">
        <v>1.5</v>
      </c>
      <c r="O25" s="65">
        <v>2</v>
      </c>
      <c r="P25" s="59">
        <v>3.1862806656037064</v>
      </c>
      <c r="Q25" s="59">
        <v>2.1241871104024708</v>
      </c>
      <c r="R25" s="59">
        <v>1.2</v>
      </c>
      <c r="S25" s="59">
        <v>0.5</v>
      </c>
      <c r="T25" s="59">
        <v>1.2</v>
      </c>
      <c r="U25" s="59">
        <v>0.95</v>
      </c>
      <c r="V25" s="59">
        <v>0.5179787999999999</v>
      </c>
      <c r="W25" s="59">
        <v>4.43213296398892</v>
      </c>
      <c r="X25" s="66">
        <v>1.002121329099197</v>
      </c>
      <c r="Y25" s="59">
        <v>0.44416832765655406</v>
      </c>
      <c r="Z25" s="63">
        <v>0.17966626038781186</v>
      </c>
      <c r="AA25" s="59">
        <v>3.6834047999999986</v>
      </c>
      <c r="AB25" s="59" t="s">
        <v>43</v>
      </c>
      <c r="AC25" s="59">
        <v>1.0515168631439102</v>
      </c>
      <c r="AD25" s="59">
        <v>0.5</v>
      </c>
      <c r="AE25" s="59">
        <v>1.05</v>
      </c>
      <c r="AF25" s="59">
        <v>3.805466355692981</v>
      </c>
      <c r="AG25" s="59"/>
      <c r="AH25" s="59">
        <v>2.6638264489850862</v>
      </c>
      <c r="AI25" s="68">
        <v>8.483955975144099</v>
      </c>
    </row>
    <row r="26" spans="1:35" s="56" customFormat="1" ht="24.75" customHeight="1">
      <c r="A26" s="57">
        <v>23</v>
      </c>
      <c r="B26" s="58" t="s">
        <v>83</v>
      </c>
      <c r="C26" s="58" t="s">
        <v>84</v>
      </c>
      <c r="D26" s="59" t="s">
        <v>126</v>
      </c>
      <c r="E26" s="73">
        <v>1</v>
      </c>
      <c r="F26" s="71">
        <v>2</v>
      </c>
      <c r="G26" s="71">
        <v>2</v>
      </c>
      <c r="H26" s="75">
        <v>47.58</v>
      </c>
      <c r="I26" s="75">
        <v>45.38</v>
      </c>
      <c r="J26" s="74">
        <v>46.38</v>
      </c>
      <c r="K26" s="63">
        <v>44.38</v>
      </c>
      <c r="L26" s="64">
        <v>0.5</v>
      </c>
      <c r="M26" s="64"/>
      <c r="N26" s="65">
        <v>2</v>
      </c>
      <c r="O26" s="65">
        <v>2</v>
      </c>
      <c r="P26" s="59">
        <v>4.248374220804942</v>
      </c>
      <c r="Q26" s="59">
        <v>2.124187110402471</v>
      </c>
      <c r="R26" s="59">
        <v>1.2</v>
      </c>
      <c r="S26" s="59">
        <v>0.5</v>
      </c>
      <c r="T26" s="59">
        <v>1.2</v>
      </c>
      <c r="U26" s="59">
        <v>0.95</v>
      </c>
      <c r="V26" s="59">
        <v>0.9208512</v>
      </c>
      <c r="W26" s="59">
        <v>4.43213296398892</v>
      </c>
      <c r="X26" s="66">
        <v>1.1664030356512858</v>
      </c>
      <c r="Y26" s="59">
        <v>0.7518128308464062</v>
      </c>
      <c r="Z26" s="63">
        <v>0.49143490304709125</v>
      </c>
      <c r="AA26" s="59">
        <v>2.1316</v>
      </c>
      <c r="AB26" s="59" t="s">
        <v>43</v>
      </c>
      <c r="AC26" s="59">
        <v>0.9746576010835224</v>
      </c>
      <c r="AD26" s="59">
        <v>0.5</v>
      </c>
      <c r="AE26" s="59">
        <v>1.05</v>
      </c>
      <c r="AF26" s="59">
        <v>2.585137447476305</v>
      </c>
      <c r="AG26" s="59"/>
      <c r="AH26" s="59">
        <v>1.8095962132334134</v>
      </c>
      <c r="AI26" s="68">
        <v>9.796428532084759</v>
      </c>
    </row>
    <row r="27" spans="1:35" s="56" customFormat="1" ht="24.75" customHeight="1" thickBot="1">
      <c r="A27" s="78">
        <v>24</v>
      </c>
      <c r="B27" s="79" t="s">
        <v>85</v>
      </c>
      <c r="C27" s="79" t="s">
        <v>86</v>
      </c>
      <c r="D27" s="80" t="s">
        <v>126</v>
      </c>
      <c r="E27" s="80">
        <v>1</v>
      </c>
      <c r="F27" s="81">
        <v>0.7</v>
      </c>
      <c r="G27" s="81">
        <v>1.4</v>
      </c>
      <c r="H27" s="82">
        <v>46.45</v>
      </c>
      <c r="I27" s="82">
        <v>44.25</v>
      </c>
      <c r="J27" s="83">
        <v>45.55</v>
      </c>
      <c r="K27" s="84">
        <v>43.55</v>
      </c>
      <c r="L27" s="85">
        <v>0.5</v>
      </c>
      <c r="M27" s="85"/>
      <c r="N27" s="86">
        <v>0.7</v>
      </c>
      <c r="O27" s="86">
        <v>2</v>
      </c>
      <c r="P27" s="87">
        <v>0.9657900000000001</v>
      </c>
      <c r="Q27" s="87">
        <v>1.3797000000000004</v>
      </c>
      <c r="R27" s="87">
        <v>0.9</v>
      </c>
      <c r="S27" s="87">
        <v>0.5</v>
      </c>
      <c r="T27" s="87">
        <v>0.9</v>
      </c>
      <c r="U27" s="87">
        <v>0.95</v>
      </c>
      <c r="V27" s="87">
        <v>0.04758930225000001</v>
      </c>
      <c r="W27" s="87">
        <v>4.43213296398892</v>
      </c>
      <c r="X27" s="88">
        <v>8.368181234387706</v>
      </c>
      <c r="Y27" s="87">
        <v>-0.04682844770264939</v>
      </c>
      <c r="Z27" s="84">
        <v>0.680380971225055</v>
      </c>
      <c r="AA27" s="87">
        <v>0.5663033527696797</v>
      </c>
      <c r="AB27" s="87" t="s">
        <v>43</v>
      </c>
      <c r="AC27" s="87">
        <v>0.9746576010835224</v>
      </c>
      <c r="AD27" s="87">
        <v>0.5</v>
      </c>
      <c r="AE27" s="87" t="s">
        <v>87</v>
      </c>
      <c r="AF27" s="87">
        <v>-2.3192125640847148</v>
      </c>
      <c r="AG27" s="87"/>
      <c r="AH27" s="87" t="s">
        <v>57</v>
      </c>
      <c r="AI27" s="89">
        <v>4.061049022560022</v>
      </c>
    </row>
  </sheetData>
  <mergeCells count="1">
    <mergeCell ref="AG3:AH3"/>
  </mergeCells>
  <printOptions horizontalCentered="1" verticalCentered="1"/>
  <pageMargins left="0.9448818897637796" right="0.7480314960629921" top="0.787401574803149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="75" zoomScaleNormal="75" workbookViewId="0" topLeftCell="A1">
      <selection activeCell="H35" sqref="A35:IV36"/>
    </sheetView>
  </sheetViews>
  <sheetFormatPr defaultColWidth="9.00390625" defaultRowHeight="19.5" customHeight="1"/>
  <cols>
    <col min="1" max="1" width="5.375" style="152" customWidth="1"/>
    <col min="2" max="2" width="7.50390625" style="152" customWidth="1"/>
    <col min="3" max="3" width="6.375" style="152" customWidth="1"/>
    <col min="4" max="4" width="9.50390625" style="152" customWidth="1"/>
    <col min="5" max="5" width="8.75390625" style="152" customWidth="1"/>
    <col min="6" max="6" width="7.125" style="152" customWidth="1"/>
    <col min="7" max="7" width="7.375" style="152" customWidth="1"/>
    <col min="8" max="8" width="7.00390625" style="152" customWidth="1"/>
    <col min="9" max="9" width="7.625" style="165" customWidth="1"/>
    <col min="10" max="10" width="7.125" style="152" customWidth="1"/>
    <col min="11" max="11" width="6.875" style="152" customWidth="1"/>
    <col min="12" max="16384" width="8.75390625" style="152" customWidth="1"/>
  </cols>
  <sheetData>
    <row r="1" spans="1:11" ht="27.75" customHeight="1">
      <c r="A1" s="149" t="s">
        <v>214</v>
      </c>
      <c r="B1" s="150"/>
      <c r="C1" s="150"/>
      <c r="D1" s="150"/>
      <c r="E1" s="150"/>
      <c r="F1" s="150"/>
      <c r="G1" s="150"/>
      <c r="H1" s="150"/>
      <c r="I1" s="151"/>
      <c r="J1" s="150"/>
      <c r="K1" s="150"/>
    </row>
    <row r="2" spans="2:11" ht="20.25" customHeight="1" thickBot="1">
      <c r="B2" s="153"/>
      <c r="C2" s="154"/>
      <c r="D2" s="154"/>
      <c r="E2" s="154"/>
      <c r="F2" s="154"/>
      <c r="G2" s="154"/>
      <c r="H2" s="154"/>
      <c r="I2" s="155"/>
      <c r="J2" s="154" t="s">
        <v>222</v>
      </c>
      <c r="K2" s="154"/>
    </row>
    <row r="3" spans="1:11" s="156" customFormat="1" ht="33" customHeight="1">
      <c r="A3" s="228" t="s">
        <v>223</v>
      </c>
      <c r="B3" s="229" t="s">
        <v>215</v>
      </c>
      <c r="C3" s="229" t="s">
        <v>224</v>
      </c>
      <c r="D3" s="229" t="s">
        <v>225</v>
      </c>
      <c r="E3" s="229" t="s">
        <v>226</v>
      </c>
      <c r="F3" s="229" t="s">
        <v>227</v>
      </c>
      <c r="G3" s="229" t="s">
        <v>216</v>
      </c>
      <c r="H3" s="229" t="s">
        <v>217</v>
      </c>
      <c r="I3" s="229"/>
      <c r="J3" s="229" t="s">
        <v>218</v>
      </c>
      <c r="K3" s="230"/>
    </row>
    <row r="4" spans="1:11" s="156" customFormat="1" ht="24.75" customHeight="1">
      <c r="A4" s="226"/>
      <c r="B4" s="231"/>
      <c r="C4" s="231"/>
      <c r="D4" s="231"/>
      <c r="E4" s="231"/>
      <c r="F4" s="231"/>
      <c r="G4" s="231"/>
      <c r="H4" s="157" t="s">
        <v>219</v>
      </c>
      <c r="I4" s="158" t="s">
        <v>220</v>
      </c>
      <c r="J4" s="157" t="s">
        <v>219</v>
      </c>
      <c r="K4" s="159" t="s">
        <v>220</v>
      </c>
    </row>
    <row r="5" spans="1:11" s="156" customFormat="1" ht="18" customHeight="1">
      <c r="A5" s="226">
        <v>1</v>
      </c>
      <c r="B5" s="231" t="s">
        <v>44</v>
      </c>
      <c r="C5" s="157" t="s">
        <v>228</v>
      </c>
      <c r="D5" s="157">
        <v>52.7</v>
      </c>
      <c r="E5" s="157">
        <v>46.3</v>
      </c>
      <c r="F5" s="157"/>
      <c r="G5" s="157"/>
      <c r="H5" s="157">
        <v>2</v>
      </c>
      <c r="I5" s="158">
        <f aca="true" t="shared" si="0" ref="I5:I36">D5/E5</f>
        <v>1.1382289416846654</v>
      </c>
      <c r="J5" s="157">
        <v>1.2</v>
      </c>
      <c r="K5" s="159"/>
    </row>
    <row r="6" spans="1:11" s="156" customFormat="1" ht="18" customHeight="1">
      <c r="A6" s="226"/>
      <c r="B6" s="231"/>
      <c r="C6" s="157" t="s">
        <v>229</v>
      </c>
      <c r="D6" s="157">
        <v>50.3</v>
      </c>
      <c r="E6" s="157">
        <v>45.4</v>
      </c>
      <c r="F6" s="157">
        <v>10.5</v>
      </c>
      <c r="G6" s="157">
        <v>29</v>
      </c>
      <c r="H6" s="157">
        <v>2</v>
      </c>
      <c r="I6" s="158">
        <f t="shared" si="0"/>
        <v>1.1079295154185023</v>
      </c>
      <c r="J6" s="157">
        <v>1.2</v>
      </c>
      <c r="K6" s="159">
        <v>1.8</v>
      </c>
    </row>
    <row r="7" spans="1:11" s="156" customFormat="1" ht="18" customHeight="1">
      <c r="A7" s="226"/>
      <c r="B7" s="231"/>
      <c r="C7" s="157" t="s">
        <v>221</v>
      </c>
      <c r="D7" s="157">
        <v>53.4</v>
      </c>
      <c r="E7" s="157">
        <v>44.2</v>
      </c>
      <c r="F7" s="157">
        <v>16.5</v>
      </c>
      <c r="G7" s="157">
        <v>29</v>
      </c>
      <c r="H7" s="157">
        <v>2.5</v>
      </c>
      <c r="I7" s="158">
        <f t="shared" si="0"/>
        <v>1.2081447963800904</v>
      </c>
      <c r="J7" s="157">
        <v>1.05</v>
      </c>
      <c r="K7" s="159">
        <v>1.4</v>
      </c>
    </row>
    <row r="8" spans="1:11" s="156" customFormat="1" ht="19.5" customHeight="1">
      <c r="A8" s="226">
        <v>2</v>
      </c>
      <c r="B8" s="231" t="s">
        <v>46</v>
      </c>
      <c r="C8" s="157" t="s">
        <v>228</v>
      </c>
      <c r="D8" s="157">
        <v>72.8</v>
      </c>
      <c r="E8" s="157">
        <v>52.4</v>
      </c>
      <c r="F8" s="157"/>
      <c r="G8" s="157"/>
      <c r="H8" s="157">
        <v>2</v>
      </c>
      <c r="I8" s="158">
        <f t="shared" si="0"/>
        <v>1.3893129770992367</v>
      </c>
      <c r="J8" s="157">
        <v>1.2</v>
      </c>
      <c r="K8" s="159"/>
    </row>
    <row r="9" spans="1:11" s="156" customFormat="1" ht="19.5" customHeight="1">
      <c r="A9" s="226"/>
      <c r="B9" s="231"/>
      <c r="C9" s="157" t="s">
        <v>229</v>
      </c>
      <c r="D9" s="157">
        <v>74.2</v>
      </c>
      <c r="E9" s="157">
        <v>61.4</v>
      </c>
      <c r="F9" s="157">
        <v>10.5</v>
      </c>
      <c r="G9" s="157">
        <v>12.5</v>
      </c>
      <c r="H9" s="157">
        <v>2</v>
      </c>
      <c r="I9" s="158">
        <f t="shared" si="0"/>
        <v>1.208469055374593</v>
      </c>
      <c r="J9" s="157">
        <v>1.2</v>
      </c>
      <c r="K9" s="159">
        <v>1.9</v>
      </c>
    </row>
    <row r="10" spans="1:11" s="156" customFormat="1" ht="19.5" customHeight="1">
      <c r="A10" s="226"/>
      <c r="B10" s="231"/>
      <c r="C10" s="157" t="s">
        <v>221</v>
      </c>
      <c r="D10" s="157">
        <v>71.3</v>
      </c>
      <c r="E10" s="157">
        <v>58.6</v>
      </c>
      <c r="F10" s="157">
        <v>12</v>
      </c>
      <c r="G10" s="157">
        <v>12.5</v>
      </c>
      <c r="H10" s="157">
        <v>2.5</v>
      </c>
      <c r="I10" s="158">
        <f t="shared" si="0"/>
        <v>1.2167235494880546</v>
      </c>
      <c r="J10" s="157">
        <v>1.05</v>
      </c>
      <c r="K10" s="159">
        <v>1.72</v>
      </c>
    </row>
    <row r="11" spans="1:11" s="156" customFormat="1" ht="18" customHeight="1">
      <c r="A11" s="226">
        <v>3</v>
      </c>
      <c r="B11" s="231" t="s">
        <v>298</v>
      </c>
      <c r="C11" s="157" t="s">
        <v>228</v>
      </c>
      <c r="D11" s="157">
        <v>45.4</v>
      </c>
      <c r="E11" s="157">
        <v>39.1</v>
      </c>
      <c r="F11" s="157"/>
      <c r="G11" s="157"/>
      <c r="H11" s="157">
        <v>2</v>
      </c>
      <c r="I11" s="158">
        <f t="shared" si="0"/>
        <v>1.1611253196930946</v>
      </c>
      <c r="J11" s="157">
        <v>1.2</v>
      </c>
      <c r="K11" s="159"/>
    </row>
    <row r="12" spans="1:11" s="156" customFormat="1" ht="18" customHeight="1">
      <c r="A12" s="226"/>
      <c r="B12" s="231"/>
      <c r="C12" s="157" t="s">
        <v>229</v>
      </c>
      <c r="D12" s="157">
        <v>47.5</v>
      </c>
      <c r="E12" s="157">
        <v>41.2</v>
      </c>
      <c r="F12" s="157">
        <v>3</v>
      </c>
      <c r="G12" s="157">
        <v>10.5</v>
      </c>
      <c r="H12" s="157">
        <v>2</v>
      </c>
      <c r="I12" s="158">
        <f t="shared" si="0"/>
        <v>1.1529126213592231</v>
      </c>
      <c r="J12" s="157">
        <v>1.2</v>
      </c>
      <c r="K12" s="159">
        <v>2.3</v>
      </c>
    </row>
    <row r="13" spans="1:11" s="156" customFormat="1" ht="18" customHeight="1">
      <c r="A13" s="226"/>
      <c r="B13" s="231"/>
      <c r="C13" s="157" t="s">
        <v>221</v>
      </c>
      <c r="D13" s="157">
        <v>48.5</v>
      </c>
      <c r="E13" s="157">
        <v>42.1</v>
      </c>
      <c r="F13" s="157">
        <v>7.2</v>
      </c>
      <c r="G13" s="157">
        <v>10.5</v>
      </c>
      <c r="H13" s="157">
        <v>2.5</v>
      </c>
      <c r="I13" s="158">
        <f t="shared" si="0"/>
        <v>1.152019002375297</v>
      </c>
      <c r="J13" s="157">
        <v>1.05</v>
      </c>
      <c r="K13" s="159">
        <v>1.4</v>
      </c>
    </row>
    <row r="14" spans="1:11" s="156" customFormat="1" ht="18" customHeight="1">
      <c r="A14" s="226">
        <v>4</v>
      </c>
      <c r="B14" s="231" t="s">
        <v>48</v>
      </c>
      <c r="C14" s="157" t="s">
        <v>228</v>
      </c>
      <c r="D14" s="157">
        <v>53.4</v>
      </c>
      <c r="E14" s="157">
        <v>47.6</v>
      </c>
      <c r="F14" s="157"/>
      <c r="G14" s="157"/>
      <c r="H14" s="157">
        <v>2</v>
      </c>
      <c r="I14" s="158">
        <f t="shared" si="0"/>
        <v>1.1218487394957983</v>
      </c>
      <c r="J14" s="157">
        <v>1.2</v>
      </c>
      <c r="K14" s="159"/>
    </row>
    <row r="15" spans="1:11" s="156" customFormat="1" ht="18" customHeight="1">
      <c r="A15" s="226"/>
      <c r="B15" s="231"/>
      <c r="C15" s="157" t="s">
        <v>229</v>
      </c>
      <c r="D15" s="157">
        <v>55.8</v>
      </c>
      <c r="E15" s="157">
        <v>49.3</v>
      </c>
      <c r="F15" s="157">
        <v>3</v>
      </c>
      <c r="G15" s="157">
        <v>5.3</v>
      </c>
      <c r="H15" s="157">
        <v>2</v>
      </c>
      <c r="I15" s="158">
        <f t="shared" si="0"/>
        <v>1.13184584178499</v>
      </c>
      <c r="J15" s="157">
        <v>1.2</v>
      </c>
      <c r="K15" s="159">
        <v>1.9</v>
      </c>
    </row>
    <row r="16" spans="1:11" s="156" customFormat="1" ht="18" customHeight="1">
      <c r="A16" s="226"/>
      <c r="B16" s="231"/>
      <c r="C16" s="157" t="s">
        <v>221</v>
      </c>
      <c r="D16" s="157">
        <v>51.1</v>
      </c>
      <c r="E16" s="157">
        <v>42.6</v>
      </c>
      <c r="F16" s="157">
        <v>4.8</v>
      </c>
      <c r="G16" s="157">
        <v>5.3</v>
      </c>
      <c r="H16" s="157">
        <v>2.5</v>
      </c>
      <c r="I16" s="158">
        <f t="shared" si="0"/>
        <v>1.199530516431925</v>
      </c>
      <c r="J16" s="157">
        <v>1.05</v>
      </c>
      <c r="K16" s="159">
        <v>1.3</v>
      </c>
    </row>
    <row r="17" spans="1:11" s="156" customFormat="1" ht="18" customHeight="1">
      <c r="A17" s="226">
        <v>5</v>
      </c>
      <c r="B17" s="231" t="s">
        <v>50</v>
      </c>
      <c r="C17" s="157" t="s">
        <v>228</v>
      </c>
      <c r="D17" s="157">
        <v>56.4</v>
      </c>
      <c r="E17" s="157">
        <v>48.6</v>
      </c>
      <c r="F17" s="157"/>
      <c r="G17" s="157"/>
      <c r="H17" s="157">
        <v>2</v>
      </c>
      <c r="I17" s="158">
        <f t="shared" si="0"/>
        <v>1.1604938271604939</v>
      </c>
      <c r="J17" s="157">
        <v>1.2</v>
      </c>
      <c r="K17" s="159"/>
    </row>
    <row r="18" spans="1:11" s="156" customFormat="1" ht="18" customHeight="1">
      <c r="A18" s="226"/>
      <c r="B18" s="231"/>
      <c r="C18" s="157" t="s">
        <v>229</v>
      </c>
      <c r="D18" s="157">
        <v>57.3</v>
      </c>
      <c r="E18" s="157">
        <v>48.2</v>
      </c>
      <c r="F18" s="157">
        <v>10.5</v>
      </c>
      <c r="G18" s="157">
        <v>16.5</v>
      </c>
      <c r="H18" s="157">
        <v>2</v>
      </c>
      <c r="I18" s="158">
        <f t="shared" si="0"/>
        <v>1.188796680497925</v>
      </c>
      <c r="J18" s="157">
        <v>1.2</v>
      </c>
      <c r="K18" s="159">
        <v>2.1</v>
      </c>
    </row>
    <row r="19" spans="1:11" s="156" customFormat="1" ht="18" customHeight="1">
      <c r="A19" s="226"/>
      <c r="B19" s="231"/>
      <c r="C19" s="157" t="s">
        <v>221</v>
      </c>
      <c r="D19" s="157">
        <v>59.7</v>
      </c>
      <c r="E19" s="157">
        <v>51.2</v>
      </c>
      <c r="F19" s="157">
        <v>15</v>
      </c>
      <c r="G19" s="157">
        <v>16.5</v>
      </c>
      <c r="H19" s="157">
        <v>2.5</v>
      </c>
      <c r="I19" s="158">
        <f t="shared" si="0"/>
        <v>1.166015625</v>
      </c>
      <c r="J19" s="157">
        <v>1.05</v>
      </c>
      <c r="K19" s="159">
        <v>1.5</v>
      </c>
    </row>
    <row r="20" spans="1:11" s="156" customFormat="1" ht="18" customHeight="1">
      <c r="A20" s="226">
        <v>6</v>
      </c>
      <c r="B20" s="231" t="s">
        <v>52</v>
      </c>
      <c r="C20" s="157" t="s">
        <v>228</v>
      </c>
      <c r="D20" s="157">
        <v>53.6</v>
      </c>
      <c r="E20" s="157">
        <v>45.8</v>
      </c>
      <c r="F20" s="157"/>
      <c r="G20" s="157"/>
      <c r="H20" s="157">
        <v>2</v>
      </c>
      <c r="I20" s="158">
        <f t="shared" si="0"/>
        <v>1.1703056768558953</v>
      </c>
      <c r="J20" s="157">
        <v>1.2</v>
      </c>
      <c r="K20" s="159"/>
    </row>
    <row r="21" spans="1:11" s="156" customFormat="1" ht="18" customHeight="1">
      <c r="A21" s="226"/>
      <c r="B21" s="231"/>
      <c r="C21" s="157" t="s">
        <v>229</v>
      </c>
      <c r="D21" s="157">
        <v>57.4</v>
      </c>
      <c r="E21" s="157">
        <v>48.2</v>
      </c>
      <c r="F21" s="157">
        <v>3</v>
      </c>
      <c r="G21" s="157">
        <v>8.5</v>
      </c>
      <c r="H21" s="157">
        <v>2</v>
      </c>
      <c r="I21" s="158">
        <f t="shared" si="0"/>
        <v>1.1908713692946058</v>
      </c>
      <c r="J21" s="157">
        <v>1.2</v>
      </c>
      <c r="K21" s="159">
        <v>2.1</v>
      </c>
    </row>
    <row r="22" spans="1:11" s="156" customFormat="1" ht="18" customHeight="1">
      <c r="A22" s="226"/>
      <c r="B22" s="231"/>
      <c r="C22" s="157" t="s">
        <v>221</v>
      </c>
      <c r="D22" s="157">
        <v>56.1</v>
      </c>
      <c r="E22" s="157">
        <v>45.8</v>
      </c>
      <c r="F22" s="157">
        <v>7.2</v>
      </c>
      <c r="G22" s="157">
        <v>8.5</v>
      </c>
      <c r="H22" s="157">
        <v>2.5</v>
      </c>
      <c r="I22" s="158">
        <f t="shared" si="0"/>
        <v>1.2248908296943233</v>
      </c>
      <c r="J22" s="157">
        <v>1.05</v>
      </c>
      <c r="K22" s="159">
        <v>1.3</v>
      </c>
    </row>
    <row r="23" spans="1:11" s="156" customFormat="1" ht="18" customHeight="1">
      <c r="A23" s="226">
        <v>7</v>
      </c>
      <c r="B23" s="231" t="s">
        <v>54</v>
      </c>
      <c r="C23" s="157" t="s">
        <v>228</v>
      </c>
      <c r="D23" s="157">
        <v>47.6</v>
      </c>
      <c r="E23" s="157">
        <v>41.8</v>
      </c>
      <c r="F23" s="157"/>
      <c r="G23" s="157"/>
      <c r="H23" s="157">
        <v>2</v>
      </c>
      <c r="I23" s="158">
        <f t="shared" si="0"/>
        <v>1.1387559808612442</v>
      </c>
      <c r="J23" s="157">
        <v>1.2</v>
      </c>
      <c r="K23" s="159"/>
    </row>
    <row r="24" spans="1:11" s="156" customFormat="1" ht="18" customHeight="1">
      <c r="A24" s="226"/>
      <c r="B24" s="231"/>
      <c r="C24" s="157" t="s">
        <v>229</v>
      </c>
      <c r="D24" s="157">
        <v>48.9</v>
      </c>
      <c r="E24" s="157">
        <v>42.3</v>
      </c>
      <c r="F24" s="157">
        <v>10.5</v>
      </c>
      <c r="G24" s="157">
        <v>16</v>
      </c>
      <c r="H24" s="157">
        <v>2</v>
      </c>
      <c r="I24" s="158">
        <f t="shared" si="0"/>
        <v>1.1560283687943262</v>
      </c>
      <c r="J24" s="157">
        <v>1.2</v>
      </c>
      <c r="K24" s="159">
        <v>1.9</v>
      </c>
    </row>
    <row r="25" spans="1:11" s="156" customFormat="1" ht="18" customHeight="1">
      <c r="A25" s="226"/>
      <c r="B25" s="231"/>
      <c r="C25" s="157" t="s">
        <v>221</v>
      </c>
      <c r="D25" s="157">
        <v>46.1</v>
      </c>
      <c r="E25" s="157">
        <v>37.8</v>
      </c>
      <c r="F25" s="157">
        <v>14</v>
      </c>
      <c r="G25" s="157">
        <v>16</v>
      </c>
      <c r="H25" s="157">
        <v>2.5</v>
      </c>
      <c r="I25" s="158">
        <f t="shared" si="0"/>
        <v>1.2195767195767198</v>
      </c>
      <c r="J25" s="157">
        <v>1.05</v>
      </c>
      <c r="K25" s="159">
        <v>1.4</v>
      </c>
    </row>
    <row r="26" spans="1:11" s="156" customFormat="1" ht="18" customHeight="1">
      <c r="A26" s="226">
        <v>8</v>
      </c>
      <c r="B26" s="231" t="s">
        <v>55</v>
      </c>
      <c r="C26" s="157" t="s">
        <v>228</v>
      </c>
      <c r="D26" s="157">
        <v>91.72</v>
      </c>
      <c r="E26" s="157">
        <v>59.56</v>
      </c>
      <c r="F26" s="157"/>
      <c r="G26" s="157"/>
      <c r="H26" s="157">
        <v>2</v>
      </c>
      <c r="I26" s="158">
        <f t="shared" si="0"/>
        <v>1.539959704499664</v>
      </c>
      <c r="J26" s="157">
        <v>1.2</v>
      </c>
      <c r="K26" s="159"/>
    </row>
    <row r="27" spans="1:11" s="156" customFormat="1" ht="18" customHeight="1">
      <c r="A27" s="226"/>
      <c r="B27" s="231"/>
      <c r="C27" s="157" t="s">
        <v>229</v>
      </c>
      <c r="D27" s="157">
        <v>84.47</v>
      </c>
      <c r="E27" s="157">
        <v>61.21</v>
      </c>
      <c r="F27" s="157">
        <v>6</v>
      </c>
      <c r="G27" s="157">
        <v>17</v>
      </c>
      <c r="H27" s="157">
        <v>2</v>
      </c>
      <c r="I27" s="158">
        <f t="shared" si="0"/>
        <v>1.3800032674399607</v>
      </c>
      <c r="J27" s="157">
        <v>1.2</v>
      </c>
      <c r="K27" s="159">
        <v>2.2</v>
      </c>
    </row>
    <row r="28" spans="1:11" s="156" customFormat="1" ht="18" customHeight="1">
      <c r="A28" s="226"/>
      <c r="B28" s="231"/>
      <c r="C28" s="157" t="s">
        <v>221</v>
      </c>
      <c r="D28" s="157">
        <v>78.84</v>
      </c>
      <c r="E28" s="157">
        <v>58.4</v>
      </c>
      <c r="F28" s="157">
        <v>15</v>
      </c>
      <c r="G28" s="157">
        <v>17</v>
      </c>
      <c r="H28" s="157">
        <v>2.5</v>
      </c>
      <c r="I28" s="158">
        <f t="shared" si="0"/>
        <v>1.35</v>
      </c>
      <c r="J28" s="157">
        <v>1.05</v>
      </c>
      <c r="K28" s="159">
        <v>1.64</v>
      </c>
    </row>
    <row r="29" spans="1:11" s="156" customFormat="1" ht="18" customHeight="1">
      <c r="A29" s="226">
        <v>9</v>
      </c>
      <c r="B29" s="231" t="s">
        <v>58</v>
      </c>
      <c r="C29" s="157" t="s">
        <v>228</v>
      </c>
      <c r="D29" s="157">
        <v>65.8</v>
      </c>
      <c r="E29" s="157">
        <v>55.8</v>
      </c>
      <c r="F29" s="157"/>
      <c r="G29" s="157"/>
      <c r="H29" s="157">
        <v>2</v>
      </c>
      <c r="I29" s="158">
        <f t="shared" si="0"/>
        <v>1.17921146953405</v>
      </c>
      <c r="J29" s="157">
        <v>1.2</v>
      </c>
      <c r="K29" s="159"/>
    </row>
    <row r="30" spans="1:11" s="156" customFormat="1" ht="18" customHeight="1">
      <c r="A30" s="226"/>
      <c r="B30" s="231"/>
      <c r="C30" s="157" t="s">
        <v>229</v>
      </c>
      <c r="D30" s="157">
        <v>67.2</v>
      </c>
      <c r="E30" s="157">
        <v>57.9</v>
      </c>
      <c r="F30" s="157">
        <v>7</v>
      </c>
      <c r="G30" s="157">
        <v>12</v>
      </c>
      <c r="H30" s="157">
        <v>2</v>
      </c>
      <c r="I30" s="158">
        <f t="shared" si="0"/>
        <v>1.1606217616580312</v>
      </c>
      <c r="J30" s="157">
        <v>1.2</v>
      </c>
      <c r="K30" s="159">
        <v>2.3</v>
      </c>
    </row>
    <row r="31" spans="1:11" s="156" customFormat="1" ht="18" customHeight="1">
      <c r="A31" s="226"/>
      <c r="B31" s="231"/>
      <c r="C31" s="157" t="s">
        <v>221</v>
      </c>
      <c r="D31" s="157">
        <v>63.8</v>
      </c>
      <c r="E31" s="157">
        <v>50</v>
      </c>
      <c r="F31" s="157">
        <v>9</v>
      </c>
      <c r="G31" s="157">
        <v>12</v>
      </c>
      <c r="H31" s="157">
        <v>2.5</v>
      </c>
      <c r="I31" s="158">
        <f t="shared" si="0"/>
        <v>1.276</v>
      </c>
      <c r="J31" s="157">
        <v>1.05</v>
      </c>
      <c r="K31" s="159">
        <v>1.4</v>
      </c>
    </row>
    <row r="32" spans="1:11" s="156" customFormat="1" ht="18" customHeight="1">
      <c r="A32" s="226">
        <v>10</v>
      </c>
      <c r="B32" s="231" t="s">
        <v>60</v>
      </c>
      <c r="C32" s="157" t="s">
        <v>228</v>
      </c>
      <c r="D32" s="157">
        <v>47.5</v>
      </c>
      <c r="E32" s="157">
        <v>40.1</v>
      </c>
      <c r="F32" s="157"/>
      <c r="G32" s="157"/>
      <c r="H32" s="157">
        <v>2</v>
      </c>
      <c r="I32" s="158">
        <f t="shared" si="0"/>
        <v>1.1845386533665836</v>
      </c>
      <c r="J32" s="157">
        <v>1.2</v>
      </c>
      <c r="K32" s="159"/>
    </row>
    <row r="33" spans="1:11" s="156" customFormat="1" ht="18" customHeight="1">
      <c r="A33" s="226"/>
      <c r="B33" s="231"/>
      <c r="C33" s="157" t="s">
        <v>229</v>
      </c>
      <c r="D33" s="157">
        <v>49.8</v>
      </c>
      <c r="E33" s="157">
        <v>41.2</v>
      </c>
      <c r="F33" s="157">
        <v>9</v>
      </c>
      <c r="G33" s="157">
        <v>18</v>
      </c>
      <c r="H33" s="157">
        <v>2</v>
      </c>
      <c r="I33" s="158">
        <f t="shared" si="0"/>
        <v>1.2087378640776698</v>
      </c>
      <c r="J33" s="157">
        <v>1.2</v>
      </c>
      <c r="K33" s="159">
        <v>2.3</v>
      </c>
    </row>
    <row r="34" spans="1:11" s="156" customFormat="1" ht="18" customHeight="1" thickBot="1">
      <c r="A34" s="227"/>
      <c r="B34" s="232"/>
      <c r="C34" s="161" t="s">
        <v>221</v>
      </c>
      <c r="D34" s="161">
        <v>49.6</v>
      </c>
      <c r="E34" s="161">
        <v>42.3</v>
      </c>
      <c r="F34" s="161">
        <v>15</v>
      </c>
      <c r="G34" s="161">
        <v>18</v>
      </c>
      <c r="H34" s="161">
        <v>2.5</v>
      </c>
      <c r="I34" s="162">
        <f t="shared" si="0"/>
        <v>1.1725768321513004</v>
      </c>
      <c r="J34" s="161">
        <v>1.05</v>
      </c>
      <c r="K34" s="163">
        <v>1.6</v>
      </c>
    </row>
    <row r="35" spans="1:11" s="156" customFormat="1" ht="18" customHeight="1">
      <c r="A35" s="226">
        <v>11</v>
      </c>
      <c r="B35" s="231" t="s">
        <v>62</v>
      </c>
      <c r="C35" s="157" t="s">
        <v>228</v>
      </c>
      <c r="D35" s="157">
        <v>58.3</v>
      </c>
      <c r="E35" s="157">
        <v>50.4</v>
      </c>
      <c r="F35" s="157"/>
      <c r="G35" s="157"/>
      <c r="H35" s="157">
        <v>2</v>
      </c>
      <c r="I35" s="158">
        <f t="shared" si="0"/>
        <v>1.1567460317460316</v>
      </c>
      <c r="J35" s="157">
        <v>1.2</v>
      </c>
      <c r="K35" s="159"/>
    </row>
    <row r="36" spans="1:11" s="156" customFormat="1" ht="18" customHeight="1">
      <c r="A36" s="226"/>
      <c r="B36" s="231"/>
      <c r="C36" s="157" t="s">
        <v>229</v>
      </c>
      <c r="D36" s="157">
        <v>61.2</v>
      </c>
      <c r="E36" s="157">
        <v>51.6</v>
      </c>
      <c r="F36" s="157">
        <v>7</v>
      </c>
      <c r="G36" s="157">
        <v>16.5</v>
      </c>
      <c r="H36" s="157">
        <v>2</v>
      </c>
      <c r="I36" s="158">
        <f t="shared" si="0"/>
        <v>1.186046511627907</v>
      </c>
      <c r="J36" s="157">
        <v>1.2</v>
      </c>
      <c r="K36" s="159">
        <v>2.5</v>
      </c>
    </row>
    <row r="37" spans="1:11" s="156" customFormat="1" ht="18" customHeight="1">
      <c r="A37" s="226"/>
      <c r="B37" s="231"/>
      <c r="C37" s="157" t="s">
        <v>221</v>
      </c>
      <c r="D37" s="157">
        <v>59.7</v>
      </c>
      <c r="E37" s="157">
        <v>49.4</v>
      </c>
      <c r="F37" s="157">
        <v>12</v>
      </c>
      <c r="G37" s="157">
        <v>16.5</v>
      </c>
      <c r="H37" s="157">
        <v>2.5</v>
      </c>
      <c r="I37" s="158">
        <f aca="true" t="shared" si="1" ref="I37:I65">D37/E37</f>
        <v>1.2085020242914981</v>
      </c>
      <c r="J37" s="157">
        <v>1.05</v>
      </c>
      <c r="K37" s="159">
        <v>1.8</v>
      </c>
    </row>
    <row r="38" spans="1:11" s="156" customFormat="1" ht="18" customHeight="1">
      <c r="A38" s="226">
        <v>12</v>
      </c>
      <c r="B38" s="231" t="s">
        <v>64</v>
      </c>
      <c r="C38" s="157" t="s">
        <v>228</v>
      </c>
      <c r="D38" s="157">
        <v>81.32</v>
      </c>
      <c r="E38" s="157">
        <v>57.62</v>
      </c>
      <c r="F38" s="157"/>
      <c r="G38" s="157"/>
      <c r="H38" s="157">
        <v>2</v>
      </c>
      <c r="I38" s="158">
        <f t="shared" si="1"/>
        <v>1.4113155154460257</v>
      </c>
      <c r="J38" s="157">
        <v>1.2</v>
      </c>
      <c r="K38" s="159"/>
    </row>
    <row r="39" spans="1:11" s="156" customFormat="1" ht="18" customHeight="1">
      <c r="A39" s="226"/>
      <c r="B39" s="231"/>
      <c r="C39" s="157" t="s">
        <v>229</v>
      </c>
      <c r="D39" s="157">
        <v>76.31</v>
      </c>
      <c r="E39" s="157">
        <v>50.43</v>
      </c>
      <c r="F39" s="157">
        <v>7.5</v>
      </c>
      <c r="G39" s="157">
        <v>9</v>
      </c>
      <c r="H39" s="157">
        <v>2</v>
      </c>
      <c r="I39" s="158">
        <f t="shared" si="1"/>
        <v>1.513186595280587</v>
      </c>
      <c r="J39" s="157">
        <v>1.2</v>
      </c>
      <c r="K39" s="159">
        <v>1.9</v>
      </c>
    </row>
    <row r="40" spans="1:11" s="156" customFormat="1" ht="18" customHeight="1">
      <c r="A40" s="226"/>
      <c r="B40" s="231"/>
      <c r="C40" s="157" t="s">
        <v>221</v>
      </c>
      <c r="D40" s="157">
        <v>70.21</v>
      </c>
      <c r="E40" s="157">
        <v>51.25</v>
      </c>
      <c r="F40" s="157">
        <v>9</v>
      </c>
      <c r="G40" s="157">
        <v>9</v>
      </c>
      <c r="H40" s="157">
        <v>2.5</v>
      </c>
      <c r="I40" s="158">
        <f t="shared" si="1"/>
        <v>1.369951219512195</v>
      </c>
      <c r="J40" s="157">
        <v>1.05</v>
      </c>
      <c r="K40" s="159">
        <v>1.4</v>
      </c>
    </row>
    <row r="41" spans="1:11" s="156" customFormat="1" ht="18" customHeight="1">
      <c r="A41" s="226">
        <v>13</v>
      </c>
      <c r="B41" s="231" t="s">
        <v>66</v>
      </c>
      <c r="C41" s="157" t="s">
        <v>228</v>
      </c>
      <c r="D41" s="157">
        <v>45.8</v>
      </c>
      <c r="E41" s="157">
        <v>39.4</v>
      </c>
      <c r="F41" s="157"/>
      <c r="G41" s="157"/>
      <c r="H41" s="157">
        <v>2</v>
      </c>
      <c r="I41" s="158">
        <f t="shared" si="1"/>
        <v>1.1624365482233503</v>
      </c>
      <c r="J41" s="157">
        <v>1.2</v>
      </c>
      <c r="K41" s="159"/>
    </row>
    <row r="42" spans="1:11" s="156" customFormat="1" ht="18" customHeight="1">
      <c r="A42" s="226"/>
      <c r="B42" s="231"/>
      <c r="C42" s="157" t="s">
        <v>229</v>
      </c>
      <c r="D42" s="157">
        <v>46.3</v>
      </c>
      <c r="E42" s="157">
        <v>40.2</v>
      </c>
      <c r="F42" s="157">
        <v>3</v>
      </c>
      <c r="G42" s="157">
        <v>5.3</v>
      </c>
      <c r="H42" s="157">
        <v>2</v>
      </c>
      <c r="I42" s="158">
        <f t="shared" si="1"/>
        <v>1.1517412935323381</v>
      </c>
      <c r="J42" s="157">
        <v>1.2</v>
      </c>
      <c r="K42" s="159">
        <v>2.2</v>
      </c>
    </row>
    <row r="43" spans="1:11" s="156" customFormat="1" ht="18" customHeight="1">
      <c r="A43" s="226"/>
      <c r="B43" s="231"/>
      <c r="C43" s="157" t="s">
        <v>221</v>
      </c>
      <c r="D43" s="157">
        <v>43.9</v>
      </c>
      <c r="E43" s="157">
        <v>36.3</v>
      </c>
      <c r="F43" s="157">
        <v>4.8</v>
      </c>
      <c r="G43" s="157">
        <v>5.3</v>
      </c>
      <c r="H43" s="157">
        <v>2.5</v>
      </c>
      <c r="I43" s="158">
        <f t="shared" si="1"/>
        <v>1.2093663911845731</v>
      </c>
      <c r="J43" s="157">
        <v>1.05</v>
      </c>
      <c r="K43" s="159">
        <v>1.71</v>
      </c>
    </row>
    <row r="44" spans="1:11" s="156" customFormat="1" ht="18" customHeight="1">
      <c r="A44" s="226">
        <v>14</v>
      </c>
      <c r="B44" s="231" t="s">
        <v>68</v>
      </c>
      <c r="C44" s="157" t="s">
        <v>228</v>
      </c>
      <c r="D44" s="157">
        <v>49.3</v>
      </c>
      <c r="E44" s="157">
        <v>41.2</v>
      </c>
      <c r="F44" s="157"/>
      <c r="G44" s="157"/>
      <c r="H44" s="157">
        <v>2</v>
      </c>
      <c r="I44" s="158">
        <f t="shared" si="1"/>
        <v>1.1966019417475726</v>
      </c>
      <c r="J44" s="157">
        <v>1.2</v>
      </c>
      <c r="K44" s="159"/>
    </row>
    <row r="45" spans="1:11" s="156" customFormat="1" ht="18" customHeight="1">
      <c r="A45" s="226"/>
      <c r="B45" s="231"/>
      <c r="C45" s="157" t="s">
        <v>229</v>
      </c>
      <c r="D45" s="157">
        <v>51.4</v>
      </c>
      <c r="E45" s="157">
        <v>43.8</v>
      </c>
      <c r="F45" s="157">
        <v>3</v>
      </c>
      <c r="G45" s="157">
        <v>8.5</v>
      </c>
      <c r="H45" s="157">
        <v>2</v>
      </c>
      <c r="I45" s="158">
        <f t="shared" si="1"/>
        <v>1.17351598173516</v>
      </c>
      <c r="J45" s="157">
        <v>1.2</v>
      </c>
      <c r="K45" s="159">
        <v>2.1</v>
      </c>
    </row>
    <row r="46" spans="1:11" s="156" customFormat="1" ht="18" customHeight="1">
      <c r="A46" s="226"/>
      <c r="B46" s="231"/>
      <c r="C46" s="157" t="s">
        <v>221</v>
      </c>
      <c r="D46" s="157">
        <v>52.2</v>
      </c>
      <c r="E46" s="157">
        <v>44.2</v>
      </c>
      <c r="F46" s="157">
        <v>7.2</v>
      </c>
      <c r="G46" s="157">
        <v>8.5</v>
      </c>
      <c r="H46" s="157">
        <v>2.5</v>
      </c>
      <c r="I46" s="158">
        <f t="shared" si="1"/>
        <v>1.1809954751131222</v>
      </c>
      <c r="J46" s="157">
        <v>1.05</v>
      </c>
      <c r="K46" s="159">
        <v>1.5</v>
      </c>
    </row>
    <row r="47" spans="1:11" s="156" customFormat="1" ht="18" customHeight="1">
      <c r="A47" s="226">
        <v>15</v>
      </c>
      <c r="B47" s="231" t="s">
        <v>70</v>
      </c>
      <c r="C47" s="157" t="s">
        <v>228</v>
      </c>
      <c r="D47" s="157">
        <v>80.2</v>
      </c>
      <c r="E47" s="157">
        <v>49.32</v>
      </c>
      <c r="F47" s="157"/>
      <c r="G47" s="157"/>
      <c r="H47" s="157">
        <v>2</v>
      </c>
      <c r="I47" s="158">
        <f t="shared" si="1"/>
        <v>1.6261151662611517</v>
      </c>
      <c r="J47" s="157">
        <v>1.2</v>
      </c>
      <c r="K47" s="159"/>
    </row>
    <row r="48" spans="1:11" s="156" customFormat="1" ht="18" customHeight="1">
      <c r="A48" s="226"/>
      <c r="B48" s="231"/>
      <c r="C48" s="157" t="s">
        <v>229</v>
      </c>
      <c r="D48" s="157">
        <v>66.32</v>
      </c>
      <c r="E48" s="157">
        <v>59.21</v>
      </c>
      <c r="F48" s="157">
        <v>3</v>
      </c>
      <c r="G48" s="157">
        <v>7</v>
      </c>
      <c r="H48" s="157">
        <v>2</v>
      </c>
      <c r="I48" s="158">
        <f t="shared" si="1"/>
        <v>1.1200810673872654</v>
      </c>
      <c r="J48" s="157">
        <v>1.2</v>
      </c>
      <c r="K48" s="159">
        <v>1.9</v>
      </c>
    </row>
    <row r="49" spans="1:11" s="156" customFormat="1" ht="18" customHeight="1">
      <c r="A49" s="226"/>
      <c r="B49" s="231"/>
      <c r="C49" s="157" t="s">
        <v>221</v>
      </c>
      <c r="D49" s="157">
        <v>60.43</v>
      </c>
      <c r="E49" s="157">
        <v>47.96</v>
      </c>
      <c r="F49" s="157">
        <v>6</v>
      </c>
      <c r="G49" s="157">
        <v>7</v>
      </c>
      <c r="H49" s="157">
        <v>2.5</v>
      </c>
      <c r="I49" s="158">
        <f t="shared" si="1"/>
        <v>1.2600083402835696</v>
      </c>
      <c r="J49" s="157">
        <v>1.05</v>
      </c>
      <c r="K49" s="159">
        <v>1.53</v>
      </c>
    </row>
    <row r="50" spans="1:11" s="156" customFormat="1" ht="18" customHeight="1">
      <c r="A50" s="226">
        <v>16</v>
      </c>
      <c r="B50" s="231" t="s">
        <v>72</v>
      </c>
      <c r="C50" s="157" t="s">
        <v>228</v>
      </c>
      <c r="D50" s="157">
        <v>66.7</v>
      </c>
      <c r="E50" s="157">
        <v>60.3</v>
      </c>
      <c r="F50" s="157"/>
      <c r="G50" s="157"/>
      <c r="H50" s="157">
        <v>2</v>
      </c>
      <c r="I50" s="158">
        <f t="shared" si="1"/>
        <v>1.1061359867330018</v>
      </c>
      <c r="J50" s="157">
        <v>1.2</v>
      </c>
      <c r="K50" s="159"/>
    </row>
    <row r="51" spans="1:11" s="156" customFormat="1" ht="18" customHeight="1">
      <c r="A51" s="226"/>
      <c r="B51" s="231"/>
      <c r="C51" s="157" t="s">
        <v>229</v>
      </c>
      <c r="D51" s="157">
        <v>66.5</v>
      </c>
      <c r="E51" s="157">
        <v>61.4</v>
      </c>
      <c r="F51" s="157">
        <v>6</v>
      </c>
      <c r="G51" s="157">
        <v>10.5</v>
      </c>
      <c r="H51" s="157">
        <v>2</v>
      </c>
      <c r="I51" s="158">
        <f t="shared" si="1"/>
        <v>1.0830618892508144</v>
      </c>
      <c r="J51" s="157">
        <v>1.2</v>
      </c>
      <c r="K51" s="159">
        <v>2.2</v>
      </c>
    </row>
    <row r="52" spans="1:11" s="156" customFormat="1" ht="18" customHeight="1">
      <c r="A52" s="226"/>
      <c r="B52" s="231"/>
      <c r="C52" s="157" t="s">
        <v>221</v>
      </c>
      <c r="D52" s="157">
        <v>68.3</v>
      </c>
      <c r="E52" s="157">
        <v>57.2</v>
      </c>
      <c r="F52" s="157">
        <v>9</v>
      </c>
      <c r="G52" s="157">
        <v>10.5</v>
      </c>
      <c r="H52" s="157">
        <v>2.5</v>
      </c>
      <c r="I52" s="158">
        <f t="shared" si="1"/>
        <v>1.194055944055944</v>
      </c>
      <c r="J52" s="157">
        <v>1.05</v>
      </c>
      <c r="K52" s="159">
        <v>1.7</v>
      </c>
    </row>
    <row r="53" spans="1:11" s="156" customFormat="1" ht="18" customHeight="1">
      <c r="A53" s="226">
        <v>17</v>
      </c>
      <c r="B53" s="231" t="s">
        <v>74</v>
      </c>
      <c r="C53" s="157" t="s">
        <v>228</v>
      </c>
      <c r="D53" s="157">
        <v>47.6</v>
      </c>
      <c r="E53" s="157">
        <v>41.2</v>
      </c>
      <c r="F53" s="157"/>
      <c r="G53" s="157"/>
      <c r="H53" s="157">
        <v>2</v>
      </c>
      <c r="I53" s="158">
        <f t="shared" si="1"/>
        <v>1.1553398058252426</v>
      </c>
      <c r="J53" s="157">
        <v>1.2</v>
      </c>
      <c r="K53" s="159"/>
    </row>
    <row r="54" spans="1:11" s="156" customFormat="1" ht="18" customHeight="1">
      <c r="A54" s="226"/>
      <c r="B54" s="231"/>
      <c r="C54" s="157" t="s">
        <v>229</v>
      </c>
      <c r="D54" s="157">
        <v>44.9</v>
      </c>
      <c r="E54" s="157">
        <v>42.2</v>
      </c>
      <c r="F54" s="157">
        <v>3</v>
      </c>
      <c r="G54" s="157">
        <v>5.3</v>
      </c>
      <c r="H54" s="157">
        <v>2</v>
      </c>
      <c r="I54" s="158">
        <f t="shared" si="1"/>
        <v>1.0639810426540284</v>
      </c>
      <c r="J54" s="157">
        <v>1.2</v>
      </c>
      <c r="K54" s="159">
        <v>1.8</v>
      </c>
    </row>
    <row r="55" spans="1:11" s="156" customFormat="1" ht="18" customHeight="1">
      <c r="A55" s="226"/>
      <c r="B55" s="231"/>
      <c r="C55" s="157" t="s">
        <v>221</v>
      </c>
      <c r="D55" s="157">
        <v>46.3</v>
      </c>
      <c r="E55" s="157">
        <v>39.9</v>
      </c>
      <c r="F55" s="157">
        <v>4.8</v>
      </c>
      <c r="G55" s="157">
        <v>5.3</v>
      </c>
      <c r="H55" s="157">
        <v>2.5</v>
      </c>
      <c r="I55" s="158">
        <f t="shared" si="1"/>
        <v>1.1604010025062657</v>
      </c>
      <c r="J55" s="157">
        <v>1.05</v>
      </c>
      <c r="K55" s="159">
        <v>1.56</v>
      </c>
    </row>
    <row r="56" spans="1:11" s="156" customFormat="1" ht="18" customHeight="1">
      <c r="A56" s="226">
        <v>18</v>
      </c>
      <c r="B56" s="231" t="s">
        <v>75</v>
      </c>
      <c r="C56" s="157" t="s">
        <v>228</v>
      </c>
      <c r="D56" s="160">
        <v>64.3</v>
      </c>
      <c r="E56" s="157">
        <v>55.4</v>
      </c>
      <c r="F56" s="157"/>
      <c r="G56" s="157"/>
      <c r="H56" s="157">
        <v>2</v>
      </c>
      <c r="I56" s="158">
        <f t="shared" si="1"/>
        <v>1.160649819494585</v>
      </c>
      <c r="J56" s="157">
        <v>1.2</v>
      </c>
      <c r="K56" s="159"/>
    </row>
    <row r="57" spans="1:11" s="156" customFormat="1" ht="18" customHeight="1">
      <c r="A57" s="226"/>
      <c r="B57" s="231"/>
      <c r="C57" s="157" t="s">
        <v>229</v>
      </c>
      <c r="D57" s="160">
        <v>61.9</v>
      </c>
      <c r="E57" s="157">
        <v>56.7</v>
      </c>
      <c r="F57" s="157">
        <v>10.5</v>
      </c>
      <c r="G57" s="157">
        <v>13.5</v>
      </c>
      <c r="H57" s="157">
        <v>2</v>
      </c>
      <c r="I57" s="158">
        <f t="shared" si="1"/>
        <v>1.091710758377425</v>
      </c>
      <c r="J57" s="157">
        <v>1.2</v>
      </c>
      <c r="K57" s="159">
        <v>1.8</v>
      </c>
    </row>
    <row r="58" spans="1:11" s="156" customFormat="1" ht="18" customHeight="1">
      <c r="A58" s="226"/>
      <c r="B58" s="231"/>
      <c r="C58" s="157" t="s">
        <v>221</v>
      </c>
      <c r="D58" s="160">
        <v>61.4</v>
      </c>
      <c r="E58" s="157">
        <v>46.9</v>
      </c>
      <c r="F58" s="157">
        <v>12</v>
      </c>
      <c r="G58" s="157">
        <v>13.5</v>
      </c>
      <c r="H58" s="157">
        <v>2.5</v>
      </c>
      <c r="I58" s="158">
        <f t="shared" si="1"/>
        <v>1.3091684434968016</v>
      </c>
      <c r="J58" s="157">
        <v>1.05</v>
      </c>
      <c r="K58" s="159">
        <v>1.3</v>
      </c>
    </row>
    <row r="59" spans="1:11" s="156" customFormat="1" ht="18" customHeight="1">
      <c r="A59" s="226">
        <v>19</v>
      </c>
      <c r="B59" s="231" t="s">
        <v>77</v>
      </c>
      <c r="C59" s="157" t="s">
        <v>228</v>
      </c>
      <c r="D59" s="157">
        <v>82.6</v>
      </c>
      <c r="E59" s="157">
        <v>71.3</v>
      </c>
      <c r="F59" s="157"/>
      <c r="G59" s="157"/>
      <c r="H59" s="157">
        <v>2</v>
      </c>
      <c r="I59" s="158">
        <f t="shared" si="1"/>
        <v>1.1584852734922861</v>
      </c>
      <c r="J59" s="157">
        <v>1.2</v>
      </c>
      <c r="K59" s="159"/>
    </row>
    <row r="60" spans="1:11" s="156" customFormat="1" ht="18" customHeight="1">
      <c r="A60" s="226"/>
      <c r="B60" s="231"/>
      <c r="C60" s="157" t="s">
        <v>229</v>
      </c>
      <c r="D60" s="157">
        <v>83.9</v>
      </c>
      <c r="E60" s="157">
        <v>73.2</v>
      </c>
      <c r="F60" s="157">
        <v>3</v>
      </c>
      <c r="G60" s="157">
        <v>8.5</v>
      </c>
      <c r="H60" s="157">
        <v>2</v>
      </c>
      <c r="I60" s="158">
        <f t="shared" si="1"/>
        <v>1.1461748633879782</v>
      </c>
      <c r="J60" s="157">
        <v>1.2</v>
      </c>
      <c r="K60" s="159">
        <v>1.8</v>
      </c>
    </row>
    <row r="61" spans="1:11" s="156" customFormat="1" ht="18" customHeight="1">
      <c r="A61" s="226"/>
      <c r="B61" s="231"/>
      <c r="C61" s="157" t="s">
        <v>221</v>
      </c>
      <c r="D61" s="157">
        <v>79.3</v>
      </c>
      <c r="E61" s="157">
        <v>66.4</v>
      </c>
      <c r="F61" s="157">
        <v>7.2</v>
      </c>
      <c r="G61" s="157">
        <v>8.5</v>
      </c>
      <c r="H61" s="157">
        <v>2.5</v>
      </c>
      <c r="I61" s="158">
        <f t="shared" si="1"/>
        <v>1.1942771084337347</v>
      </c>
      <c r="J61" s="157">
        <v>1.05</v>
      </c>
      <c r="K61" s="159">
        <v>1.4</v>
      </c>
    </row>
    <row r="62" spans="1:11" s="156" customFormat="1" ht="18" customHeight="1">
      <c r="A62" s="226">
        <v>20</v>
      </c>
      <c r="B62" s="231" t="s">
        <v>78</v>
      </c>
      <c r="C62" s="157" t="s">
        <v>229</v>
      </c>
      <c r="D62" s="157">
        <v>80.4</v>
      </c>
      <c r="E62" s="157">
        <v>64.4</v>
      </c>
      <c r="F62" s="157">
        <v>6</v>
      </c>
      <c r="G62" s="157">
        <v>13.5</v>
      </c>
      <c r="H62" s="157">
        <v>2</v>
      </c>
      <c r="I62" s="158">
        <f t="shared" si="1"/>
        <v>1.2484472049689441</v>
      </c>
      <c r="J62" s="157">
        <v>1.2</v>
      </c>
      <c r="K62" s="159">
        <v>2.1</v>
      </c>
    </row>
    <row r="63" spans="1:11" s="156" customFormat="1" ht="18" customHeight="1">
      <c r="A63" s="226"/>
      <c r="B63" s="231"/>
      <c r="C63" s="157" t="s">
        <v>221</v>
      </c>
      <c r="D63" s="157">
        <v>72.43</v>
      </c>
      <c r="E63" s="157">
        <v>52.87</v>
      </c>
      <c r="F63" s="157">
        <v>12</v>
      </c>
      <c r="G63" s="157">
        <v>13.5</v>
      </c>
      <c r="H63" s="157">
        <v>2.5</v>
      </c>
      <c r="I63" s="158">
        <f t="shared" si="1"/>
        <v>1.3699640627955365</v>
      </c>
      <c r="J63" s="157">
        <v>1.05</v>
      </c>
      <c r="K63" s="159">
        <v>1.6</v>
      </c>
    </row>
    <row r="64" spans="1:11" s="156" customFormat="1" ht="18" customHeight="1">
      <c r="A64" s="226">
        <v>21</v>
      </c>
      <c r="B64" s="231" t="s">
        <v>80</v>
      </c>
      <c r="C64" s="157" t="s">
        <v>229</v>
      </c>
      <c r="D64" s="157">
        <v>77.2</v>
      </c>
      <c r="E64" s="157">
        <v>59.38</v>
      </c>
      <c r="F64" s="157">
        <v>3</v>
      </c>
      <c r="G64" s="157">
        <v>8.5</v>
      </c>
      <c r="H64" s="157">
        <v>2</v>
      </c>
      <c r="I64" s="158">
        <f t="shared" si="1"/>
        <v>1.3001010441226002</v>
      </c>
      <c r="J64" s="157">
        <v>1.2</v>
      </c>
      <c r="K64" s="159">
        <v>1.7</v>
      </c>
    </row>
    <row r="65" spans="1:11" s="156" customFormat="1" ht="18" customHeight="1" thickBot="1">
      <c r="A65" s="227"/>
      <c r="B65" s="232"/>
      <c r="C65" s="161" t="s">
        <v>221</v>
      </c>
      <c r="D65" s="161">
        <v>68.42</v>
      </c>
      <c r="E65" s="161">
        <v>48.52</v>
      </c>
      <c r="F65" s="161">
        <v>7.2</v>
      </c>
      <c r="G65" s="161">
        <v>8.5</v>
      </c>
      <c r="H65" s="161">
        <v>2.5</v>
      </c>
      <c r="I65" s="162">
        <f t="shared" si="1"/>
        <v>1.4101401483924154</v>
      </c>
      <c r="J65" s="161">
        <v>1.05</v>
      </c>
      <c r="K65" s="163">
        <v>1.4</v>
      </c>
    </row>
    <row r="66" s="156" customFormat="1" ht="19.5" customHeight="1">
      <c r="I66" s="164"/>
    </row>
    <row r="67" s="156" customFormat="1" ht="19.5" customHeight="1">
      <c r="I67" s="164"/>
    </row>
    <row r="68" s="156" customFormat="1" ht="19.5" customHeight="1">
      <c r="I68" s="164"/>
    </row>
    <row r="69" s="156" customFormat="1" ht="19.5" customHeight="1">
      <c r="I69" s="164"/>
    </row>
    <row r="70" s="156" customFormat="1" ht="19.5" customHeight="1">
      <c r="I70" s="164"/>
    </row>
    <row r="71" s="156" customFormat="1" ht="19.5" customHeight="1">
      <c r="I71" s="164"/>
    </row>
    <row r="72" s="156" customFormat="1" ht="19.5" customHeight="1">
      <c r="I72" s="164"/>
    </row>
    <row r="73" s="156" customFormat="1" ht="19.5" customHeight="1">
      <c r="I73" s="164"/>
    </row>
    <row r="74" s="156" customFormat="1" ht="19.5" customHeight="1">
      <c r="I74" s="164"/>
    </row>
    <row r="75" s="156" customFormat="1" ht="19.5" customHeight="1">
      <c r="I75" s="164"/>
    </row>
    <row r="76" s="156" customFormat="1" ht="19.5" customHeight="1">
      <c r="I76" s="164"/>
    </row>
    <row r="77" s="156" customFormat="1" ht="19.5" customHeight="1">
      <c r="I77" s="164"/>
    </row>
    <row r="78" s="156" customFormat="1" ht="19.5" customHeight="1">
      <c r="I78" s="164"/>
    </row>
    <row r="79" s="156" customFormat="1" ht="19.5" customHeight="1">
      <c r="I79" s="164"/>
    </row>
    <row r="80" s="156" customFormat="1" ht="19.5" customHeight="1">
      <c r="I80" s="164"/>
    </row>
    <row r="81" s="156" customFormat="1" ht="19.5" customHeight="1">
      <c r="I81" s="164"/>
    </row>
    <row r="82" s="156" customFormat="1" ht="19.5" customHeight="1">
      <c r="I82" s="164"/>
    </row>
    <row r="83" s="156" customFormat="1" ht="19.5" customHeight="1">
      <c r="I83" s="164"/>
    </row>
    <row r="84" s="156" customFormat="1" ht="19.5" customHeight="1">
      <c r="I84" s="164"/>
    </row>
    <row r="85" s="156" customFormat="1" ht="19.5" customHeight="1">
      <c r="I85" s="164"/>
    </row>
    <row r="86" s="156" customFormat="1" ht="19.5" customHeight="1">
      <c r="I86" s="164"/>
    </row>
    <row r="87" s="156" customFormat="1" ht="19.5" customHeight="1">
      <c r="I87" s="164"/>
    </row>
    <row r="88" s="156" customFormat="1" ht="19.5" customHeight="1">
      <c r="I88" s="164"/>
    </row>
    <row r="89" s="156" customFormat="1" ht="19.5" customHeight="1">
      <c r="I89" s="164"/>
    </row>
    <row r="90" s="156" customFormat="1" ht="19.5" customHeight="1">
      <c r="I90" s="164"/>
    </row>
    <row r="91" s="156" customFormat="1" ht="19.5" customHeight="1">
      <c r="I91" s="164"/>
    </row>
    <row r="92" s="156" customFormat="1" ht="19.5" customHeight="1">
      <c r="I92" s="164"/>
    </row>
    <row r="93" s="156" customFormat="1" ht="19.5" customHeight="1">
      <c r="I93" s="164"/>
    </row>
    <row r="94" s="156" customFormat="1" ht="19.5" customHeight="1">
      <c r="I94" s="164"/>
    </row>
    <row r="95" s="156" customFormat="1" ht="19.5" customHeight="1">
      <c r="I95" s="164"/>
    </row>
    <row r="96" s="156" customFormat="1" ht="19.5" customHeight="1">
      <c r="I96" s="164"/>
    </row>
    <row r="97" s="156" customFormat="1" ht="19.5" customHeight="1">
      <c r="I97" s="164"/>
    </row>
    <row r="98" s="156" customFormat="1" ht="19.5" customHeight="1">
      <c r="I98" s="164"/>
    </row>
    <row r="99" s="156" customFormat="1" ht="19.5" customHeight="1">
      <c r="I99" s="164"/>
    </row>
    <row r="100" s="156" customFormat="1" ht="19.5" customHeight="1">
      <c r="I100" s="164"/>
    </row>
    <row r="101" s="156" customFormat="1" ht="19.5" customHeight="1">
      <c r="I101" s="164"/>
    </row>
    <row r="102" s="156" customFormat="1" ht="19.5" customHeight="1">
      <c r="I102" s="164"/>
    </row>
    <row r="103" s="156" customFormat="1" ht="19.5" customHeight="1">
      <c r="I103" s="164"/>
    </row>
    <row r="104" s="156" customFormat="1" ht="19.5" customHeight="1">
      <c r="I104" s="164"/>
    </row>
    <row r="105" s="156" customFormat="1" ht="19.5" customHeight="1">
      <c r="I105" s="164"/>
    </row>
    <row r="106" s="156" customFormat="1" ht="19.5" customHeight="1">
      <c r="I106" s="164"/>
    </row>
    <row r="107" s="156" customFormat="1" ht="19.5" customHeight="1">
      <c r="I107" s="164"/>
    </row>
    <row r="108" s="156" customFormat="1" ht="19.5" customHeight="1">
      <c r="I108" s="164"/>
    </row>
    <row r="109" s="156" customFormat="1" ht="19.5" customHeight="1">
      <c r="I109" s="164"/>
    </row>
    <row r="110" s="156" customFormat="1" ht="19.5" customHeight="1">
      <c r="I110" s="164"/>
    </row>
    <row r="111" s="156" customFormat="1" ht="19.5" customHeight="1">
      <c r="I111" s="164"/>
    </row>
    <row r="112" s="156" customFormat="1" ht="19.5" customHeight="1">
      <c r="I112" s="164"/>
    </row>
    <row r="113" s="156" customFormat="1" ht="19.5" customHeight="1">
      <c r="I113" s="164"/>
    </row>
    <row r="114" s="156" customFormat="1" ht="19.5" customHeight="1">
      <c r="I114" s="164"/>
    </row>
    <row r="115" s="156" customFormat="1" ht="19.5" customHeight="1">
      <c r="I115" s="164"/>
    </row>
    <row r="116" s="156" customFormat="1" ht="19.5" customHeight="1">
      <c r="I116" s="164"/>
    </row>
    <row r="117" s="156" customFormat="1" ht="19.5" customHeight="1">
      <c r="I117" s="164"/>
    </row>
    <row r="118" s="156" customFormat="1" ht="19.5" customHeight="1">
      <c r="I118" s="164"/>
    </row>
    <row r="119" s="156" customFormat="1" ht="19.5" customHeight="1">
      <c r="I119" s="164"/>
    </row>
    <row r="120" s="156" customFormat="1" ht="19.5" customHeight="1">
      <c r="I120" s="164"/>
    </row>
    <row r="121" s="156" customFormat="1" ht="19.5" customHeight="1">
      <c r="I121" s="164"/>
    </row>
    <row r="122" s="156" customFormat="1" ht="19.5" customHeight="1">
      <c r="I122" s="164"/>
    </row>
    <row r="123" s="156" customFormat="1" ht="19.5" customHeight="1">
      <c r="I123" s="164"/>
    </row>
    <row r="124" s="156" customFormat="1" ht="19.5" customHeight="1">
      <c r="I124" s="164"/>
    </row>
    <row r="125" s="156" customFormat="1" ht="19.5" customHeight="1">
      <c r="I125" s="164"/>
    </row>
    <row r="126" s="156" customFormat="1" ht="19.5" customHeight="1">
      <c r="I126" s="164"/>
    </row>
    <row r="127" s="156" customFormat="1" ht="19.5" customHeight="1">
      <c r="I127" s="164"/>
    </row>
    <row r="128" s="156" customFormat="1" ht="19.5" customHeight="1">
      <c r="I128" s="164"/>
    </row>
    <row r="129" s="156" customFormat="1" ht="19.5" customHeight="1">
      <c r="I129" s="164"/>
    </row>
    <row r="130" s="156" customFormat="1" ht="19.5" customHeight="1">
      <c r="I130" s="164"/>
    </row>
    <row r="131" s="156" customFormat="1" ht="19.5" customHeight="1">
      <c r="I131" s="164"/>
    </row>
    <row r="132" s="156" customFormat="1" ht="19.5" customHeight="1">
      <c r="I132" s="164"/>
    </row>
    <row r="133" s="156" customFormat="1" ht="19.5" customHeight="1">
      <c r="I133" s="164"/>
    </row>
    <row r="134" s="156" customFormat="1" ht="19.5" customHeight="1">
      <c r="I134" s="164"/>
    </row>
    <row r="135" s="156" customFormat="1" ht="19.5" customHeight="1">
      <c r="I135" s="164"/>
    </row>
    <row r="136" s="156" customFormat="1" ht="19.5" customHeight="1">
      <c r="I136" s="164"/>
    </row>
    <row r="137" s="156" customFormat="1" ht="19.5" customHeight="1">
      <c r="I137" s="164"/>
    </row>
    <row r="138" s="156" customFormat="1" ht="19.5" customHeight="1">
      <c r="I138" s="164"/>
    </row>
    <row r="139" s="156" customFormat="1" ht="19.5" customHeight="1">
      <c r="I139" s="164"/>
    </row>
    <row r="140" s="156" customFormat="1" ht="19.5" customHeight="1">
      <c r="I140" s="164"/>
    </row>
    <row r="141" s="156" customFormat="1" ht="19.5" customHeight="1">
      <c r="I141" s="164"/>
    </row>
    <row r="142" s="156" customFormat="1" ht="19.5" customHeight="1">
      <c r="I142" s="164"/>
    </row>
    <row r="143" s="156" customFormat="1" ht="19.5" customHeight="1">
      <c r="I143" s="164"/>
    </row>
    <row r="144" s="156" customFormat="1" ht="19.5" customHeight="1">
      <c r="I144" s="164"/>
    </row>
    <row r="145" s="156" customFormat="1" ht="19.5" customHeight="1">
      <c r="I145" s="164"/>
    </row>
    <row r="146" s="156" customFormat="1" ht="19.5" customHeight="1">
      <c r="I146" s="164"/>
    </row>
    <row r="147" s="156" customFormat="1" ht="19.5" customHeight="1">
      <c r="I147" s="164"/>
    </row>
    <row r="148" s="156" customFormat="1" ht="19.5" customHeight="1">
      <c r="I148" s="164"/>
    </row>
    <row r="149" s="156" customFormat="1" ht="19.5" customHeight="1">
      <c r="I149" s="164"/>
    </row>
    <row r="150" s="156" customFormat="1" ht="19.5" customHeight="1">
      <c r="I150" s="164"/>
    </row>
    <row r="151" s="156" customFormat="1" ht="19.5" customHeight="1">
      <c r="I151" s="164"/>
    </row>
    <row r="152" s="156" customFormat="1" ht="19.5" customHeight="1">
      <c r="I152" s="164"/>
    </row>
    <row r="153" s="156" customFormat="1" ht="19.5" customHeight="1">
      <c r="I153" s="164"/>
    </row>
    <row r="154" s="156" customFormat="1" ht="19.5" customHeight="1">
      <c r="I154" s="164"/>
    </row>
    <row r="155" s="156" customFormat="1" ht="19.5" customHeight="1">
      <c r="I155" s="164"/>
    </row>
    <row r="156" s="156" customFormat="1" ht="19.5" customHeight="1">
      <c r="I156" s="164"/>
    </row>
    <row r="157" s="156" customFormat="1" ht="19.5" customHeight="1">
      <c r="I157" s="164"/>
    </row>
    <row r="158" s="156" customFormat="1" ht="19.5" customHeight="1">
      <c r="I158" s="164"/>
    </row>
  </sheetData>
  <mergeCells count="51">
    <mergeCell ref="B35:B37"/>
    <mergeCell ref="B64:B65"/>
    <mergeCell ref="B47:B49"/>
    <mergeCell ref="B38:B40"/>
    <mergeCell ref="B59:B61"/>
    <mergeCell ref="B56:B58"/>
    <mergeCell ref="B53:B55"/>
    <mergeCell ref="B62:B63"/>
    <mergeCell ref="B41:B43"/>
    <mergeCell ref="B8:B10"/>
    <mergeCell ref="B29:B31"/>
    <mergeCell ref="B20:B22"/>
    <mergeCell ref="B50:B52"/>
    <mergeCell ref="B32:B34"/>
    <mergeCell ref="B11:B13"/>
    <mergeCell ref="B23:B25"/>
    <mergeCell ref="B44:B46"/>
    <mergeCell ref="B14:B16"/>
    <mergeCell ref="B26:B28"/>
    <mergeCell ref="J3:K3"/>
    <mergeCell ref="B17:B19"/>
    <mergeCell ref="B5:B7"/>
    <mergeCell ref="E3:E4"/>
    <mergeCell ref="F3:F4"/>
    <mergeCell ref="G3:G4"/>
    <mergeCell ref="H3:I3"/>
    <mergeCell ref="B3:B4"/>
    <mergeCell ref="C3:C4"/>
    <mergeCell ref="D3:D4"/>
    <mergeCell ref="A3:A4"/>
    <mergeCell ref="A17:A19"/>
    <mergeCell ref="A5:A7"/>
    <mergeCell ref="A23:A25"/>
    <mergeCell ref="A29:A31"/>
    <mergeCell ref="A35:A37"/>
    <mergeCell ref="A8:A10"/>
    <mergeCell ref="A14:A16"/>
    <mergeCell ref="A26:A28"/>
    <mergeCell ref="A32:A34"/>
    <mergeCell ref="A11:A13"/>
    <mergeCell ref="A20:A22"/>
    <mergeCell ref="A56:A58"/>
    <mergeCell ref="A38:A40"/>
    <mergeCell ref="A59:A61"/>
    <mergeCell ref="A64:A65"/>
    <mergeCell ref="A41:A43"/>
    <mergeCell ref="A53:A55"/>
    <mergeCell ref="A47:A49"/>
    <mergeCell ref="A62:A63"/>
    <mergeCell ref="A50:A52"/>
    <mergeCell ref="A44:A46"/>
  </mergeCells>
  <printOptions horizontalCentered="1" verticalCentered="1"/>
  <pageMargins left="0.9448818897637796" right="0.551181102362204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mxl</dc:creator>
  <cp:keywords/>
  <dc:description/>
  <cp:lastModifiedBy>lxp</cp:lastModifiedBy>
  <cp:lastPrinted>2001-09-30T01:08:34Z</cp:lastPrinted>
  <dcterms:created xsi:type="dcterms:W3CDTF">2003-01-08T20:26:37Z</dcterms:created>
  <dcterms:modified xsi:type="dcterms:W3CDTF">2001-09-30T04:55:00Z</dcterms:modified>
  <cp:category/>
  <cp:version/>
  <cp:contentType/>
  <cp:contentStatus/>
</cp:coreProperties>
</file>