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120" windowHeight="7110" firstSheet="1" activeTab="1"/>
  </bookViews>
  <sheets>
    <sheet name="主材用量表" sheetId="1" r:id="rId1"/>
    <sheet name="主要工程量" sheetId="2" r:id="rId2"/>
    <sheet name="6-1" sheetId="3" r:id="rId3"/>
    <sheet name="6-2" sheetId="4" r:id="rId4"/>
    <sheet name="6-3" sheetId="5" r:id="rId5"/>
    <sheet name="6-4" sheetId="6" r:id="rId6"/>
    <sheet name="6-5" sheetId="7" r:id="rId7"/>
    <sheet name="6-6" sheetId="8" r:id="rId8"/>
    <sheet name="6-7" sheetId="9" r:id="rId9"/>
    <sheet name="6-8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<sst xmlns="http://schemas.openxmlformats.org/spreadsheetml/2006/main" count="262" uniqueCount="217">
  <si>
    <r>
      <t>表</t>
    </r>
    <r>
      <rPr>
        <sz val="12"/>
        <rFont val="Times New Roman"/>
        <family val="1"/>
      </rPr>
      <t>6-1</t>
    </r>
  </si>
  <si>
    <t>干支渠名</t>
  </si>
  <si>
    <t>主干渠</t>
  </si>
  <si>
    <t>东干渠</t>
  </si>
  <si>
    <t>西干渠</t>
  </si>
  <si>
    <t>支渠</t>
  </si>
  <si>
    <t>合计</t>
  </si>
  <si>
    <t>条数</t>
  </si>
  <si>
    <r>
      <t>总长度</t>
    </r>
    <r>
      <rPr>
        <sz val="12"/>
        <rFont val="Times New Roman"/>
        <family val="1"/>
      </rPr>
      <t>(km)</t>
    </r>
  </si>
  <si>
    <r>
      <t>清淤长度</t>
    </r>
    <r>
      <rPr>
        <sz val="12"/>
        <rFont val="Times New Roman"/>
        <family val="1"/>
      </rPr>
      <t>(km)</t>
    </r>
  </si>
  <si>
    <t>备注</t>
  </si>
  <si>
    <t>主干渠名称</t>
  </si>
  <si>
    <t>合计</t>
  </si>
  <si>
    <r>
      <t>总长</t>
    </r>
    <r>
      <rPr>
        <sz val="12"/>
        <rFont val="Times New Roman"/>
        <family val="1"/>
      </rPr>
      <t>km</t>
    </r>
  </si>
  <si>
    <t>衬砌长</t>
  </si>
  <si>
    <t>工程量</t>
  </si>
  <si>
    <t>渠名</t>
  </si>
  <si>
    <t>主干渠</t>
  </si>
  <si>
    <t>合计</t>
  </si>
  <si>
    <t>桩号</t>
  </si>
  <si>
    <t>6+230</t>
  </si>
  <si>
    <t>8+100</t>
  </si>
  <si>
    <t>座数</t>
  </si>
  <si>
    <r>
      <t>予应力砼管</t>
    </r>
    <r>
      <rPr>
        <sz val="12"/>
        <rFont val="Times New Roman"/>
        <family val="1"/>
      </rPr>
      <t>(m)</t>
    </r>
  </si>
  <si>
    <r>
      <t>Ф</t>
    </r>
    <r>
      <rPr>
        <sz val="14"/>
        <rFont val="Times New Roman"/>
        <family val="1"/>
      </rPr>
      <t>60</t>
    </r>
  </si>
  <si>
    <r>
      <t>Ф</t>
    </r>
    <r>
      <rPr>
        <sz val="14"/>
        <rFont val="Times New Roman"/>
        <family val="1"/>
      </rPr>
      <t>40</t>
    </r>
  </si>
  <si>
    <t>合计</t>
  </si>
  <si>
    <r>
      <t>表</t>
    </r>
    <r>
      <rPr>
        <sz val="12"/>
        <rFont val="Times New Roman"/>
        <family val="1"/>
      </rPr>
      <t>6-4</t>
    </r>
  </si>
  <si>
    <r>
      <t>表</t>
    </r>
    <r>
      <rPr>
        <sz val="12"/>
        <rFont val="Times New Roman"/>
        <family val="1"/>
      </rPr>
      <t>6-5</t>
    </r>
  </si>
  <si>
    <r>
      <t>表</t>
    </r>
    <r>
      <rPr>
        <sz val="12"/>
        <rFont val="Times New Roman"/>
        <family val="1"/>
      </rPr>
      <t>6-6</t>
    </r>
  </si>
  <si>
    <t>工程名称</t>
  </si>
  <si>
    <t>测流工作桥</t>
  </si>
  <si>
    <r>
      <t>表</t>
    </r>
    <r>
      <rPr>
        <sz val="12"/>
        <rFont val="Times New Roman"/>
        <family val="1"/>
      </rPr>
      <t>6-7</t>
    </r>
  </si>
  <si>
    <t>干支渠名称</t>
  </si>
  <si>
    <t>设备名称</t>
  </si>
  <si>
    <r>
      <t>数量（套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扇）</t>
    </r>
  </si>
  <si>
    <t>备注</t>
  </si>
  <si>
    <r>
      <t>启闭机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套</t>
    </r>
    <r>
      <rPr>
        <sz val="12"/>
        <rFont val="Times New Roman"/>
        <family val="1"/>
      </rPr>
      <t>)</t>
    </r>
  </si>
  <si>
    <t>5T</t>
  </si>
  <si>
    <t>3T</t>
  </si>
  <si>
    <t>0.3T</t>
  </si>
  <si>
    <r>
      <t>闸门</t>
    </r>
    <r>
      <rPr>
        <sz val="12"/>
        <rFont val="Times New Roman"/>
        <family val="1"/>
      </rPr>
      <t>B*h(</t>
    </r>
    <r>
      <rPr>
        <sz val="12"/>
        <rFont val="宋体"/>
        <family val="0"/>
      </rPr>
      <t>扇</t>
    </r>
    <r>
      <rPr>
        <sz val="12"/>
        <rFont val="Times New Roman"/>
        <family val="1"/>
      </rPr>
      <t>)</t>
    </r>
  </si>
  <si>
    <t>主干渠</t>
  </si>
  <si>
    <t>东干渠</t>
  </si>
  <si>
    <t>西干渠</t>
  </si>
  <si>
    <t>各支渠</t>
  </si>
  <si>
    <t>1T</t>
  </si>
  <si>
    <t>0.4×0.4</t>
  </si>
  <si>
    <t>0.5×0.5</t>
  </si>
  <si>
    <t>0.8×0.8</t>
  </si>
  <si>
    <t>1.5×1.5</t>
  </si>
  <si>
    <t>1.5×2</t>
  </si>
  <si>
    <t>2×2</t>
  </si>
  <si>
    <t>2.5×2</t>
  </si>
  <si>
    <t>2×1.5</t>
  </si>
  <si>
    <r>
      <t>量水设施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套</t>
    </r>
  </si>
  <si>
    <r>
      <t>土方开挖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</si>
  <si>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土方回填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</si>
  <si>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C15</t>
    </r>
    <r>
      <rPr>
        <sz val="12"/>
        <rFont val="宋体"/>
        <family val="0"/>
      </rPr>
      <t>砼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</si>
  <si>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砂石滤料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</si>
  <si>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M7.5</t>
    </r>
    <r>
      <rPr>
        <sz val="12"/>
        <rFont val="宋体"/>
        <family val="0"/>
      </rPr>
      <t>浆砌块石</t>
    </r>
    <r>
      <rPr>
        <sz val="12"/>
        <rFont val="Times New Roman"/>
        <family val="1"/>
      </rPr>
      <t xml:space="preserve">    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</si>
  <si>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土方回填</t>
    </r>
    <r>
      <rPr>
        <sz val="12"/>
        <rFont val="Times New Roman"/>
        <family val="1"/>
      </rPr>
      <t xml:space="preserve">    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</si>
  <si>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土方开挖</t>
    </r>
    <r>
      <rPr>
        <sz val="12"/>
        <rFont val="Times New Roman"/>
        <family val="1"/>
      </rPr>
      <t xml:space="preserve">     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</si>
  <si>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长度</t>
    </r>
    <r>
      <rPr>
        <sz val="12"/>
        <rFont val="Times New Roman"/>
        <family val="1"/>
      </rPr>
      <t xml:space="preserve">                (m)</t>
    </r>
  </si>
  <si>
    <r>
      <t>砂石滤料</t>
    </r>
    <r>
      <rPr>
        <sz val="12"/>
        <rFont val="Times New Roman"/>
        <family val="1"/>
      </rPr>
      <t xml:space="preserve">         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</si>
  <si>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C10砼           (m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</si>
  <si>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t>主干、东西干渠疏淤工程表</t>
  </si>
  <si>
    <r>
      <t>C20砼(m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</si>
  <si>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r>
      <t>围堰</t>
    </r>
    <r>
      <rPr>
        <sz val="12"/>
        <rFont val="Times New Roman"/>
        <family val="1"/>
      </rPr>
      <t xml:space="preserve">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</si>
  <si>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钢筋</t>
    </r>
    <r>
      <rPr>
        <sz val="12"/>
        <rFont val="Times New Roman"/>
        <family val="1"/>
      </rPr>
      <t xml:space="preserve">        ( t )</t>
    </r>
  </si>
  <si>
    <r>
      <t>表</t>
    </r>
    <r>
      <rPr>
        <sz val="12"/>
        <rFont val="Times New Roman"/>
        <family val="1"/>
      </rPr>
      <t>6-3</t>
    </r>
  </si>
  <si>
    <r>
      <t>表</t>
    </r>
    <r>
      <rPr>
        <sz val="12"/>
        <rFont val="Times New Roman"/>
        <family val="1"/>
      </rPr>
      <t>6-2</t>
    </r>
  </si>
  <si>
    <t>渠道防渗衬砌工程量</t>
  </si>
  <si>
    <t>渠堤段加高培厚项目工程量</t>
  </si>
  <si>
    <r>
      <t xml:space="preserve"> </t>
    </r>
    <r>
      <rPr>
        <sz val="12"/>
        <rFont val="宋体"/>
        <family val="0"/>
      </rPr>
      <t>防渗薄膜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</si>
  <si>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斜坡土方回填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</si>
  <si>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植草护坡（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</si>
  <si>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 xml:space="preserve"> 浆砌石 (m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</si>
  <si>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t>挡土墙</t>
  </si>
  <si>
    <t>护坡</t>
  </si>
  <si>
    <t>护底</t>
  </si>
  <si>
    <r>
      <t>C10砼垫层（m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</si>
  <si>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C25二期砼（m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</si>
  <si>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伸缩缝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</si>
  <si>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渠道模板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</si>
  <si>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滑坡整治项目工程量</t>
  </si>
  <si>
    <r>
      <t xml:space="preserve"> M7.5水泥浆砌石 (m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)</t>
    </r>
  </si>
  <si>
    <t>桩号</t>
  </si>
  <si>
    <t>6+230~6+530</t>
  </si>
  <si>
    <t>8+100~8+400</t>
  </si>
  <si>
    <t>分水口</t>
  </si>
  <si>
    <r>
      <t>模板（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</si>
  <si>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工程项目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</si>
  <si>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</si>
  <si>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3</t>
    </r>
  </si>
  <si>
    <t>钢筋</t>
  </si>
  <si>
    <t>t</t>
  </si>
  <si>
    <r>
      <t>m</t>
    </r>
    <r>
      <rPr>
        <vertAlign val="superscript"/>
        <sz val="12"/>
        <rFont val="Times New Roman"/>
        <family val="1"/>
      </rPr>
      <t>2</t>
    </r>
  </si>
  <si>
    <t>主要工程量汇总表</t>
  </si>
  <si>
    <t>浆砌块石拆除</t>
  </si>
  <si>
    <t>混凝土拆除</t>
  </si>
  <si>
    <r>
      <t>C15</t>
    </r>
    <r>
      <rPr>
        <sz val="12"/>
        <rFont val="宋体"/>
        <family val="0"/>
      </rPr>
      <t>明渠混凝土</t>
    </r>
  </si>
  <si>
    <t>草皮护坡</t>
  </si>
  <si>
    <t>模板</t>
  </si>
  <si>
    <t>浆砌块石</t>
  </si>
  <si>
    <t>备注</t>
  </si>
  <si>
    <t>渠道整治加固工程</t>
  </si>
  <si>
    <t>一、</t>
  </si>
  <si>
    <t>渠道疏挖项目</t>
  </si>
  <si>
    <t>（一）</t>
  </si>
  <si>
    <t>渠堤段加高培厚项目</t>
  </si>
  <si>
    <t>（二）</t>
  </si>
  <si>
    <t>渠道防渗衬砌项目</t>
  </si>
  <si>
    <t>（三）</t>
  </si>
  <si>
    <t>渠道滑坡整治</t>
  </si>
  <si>
    <t>（四）</t>
  </si>
  <si>
    <t>渠系建筑物工程</t>
  </si>
  <si>
    <t>二、</t>
  </si>
  <si>
    <t>拆除重建项目</t>
  </si>
  <si>
    <t>维修改造项目</t>
  </si>
  <si>
    <t>（二）</t>
  </si>
  <si>
    <t>新建项目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</si>
  <si>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</si>
  <si>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t>土方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回填</t>
    </r>
  </si>
  <si>
    <r>
      <t>土方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开挖</t>
    </r>
  </si>
  <si>
    <r>
      <t>渠道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疏浚</t>
    </r>
  </si>
  <si>
    <r>
      <t xml:space="preserve">C20       </t>
    </r>
    <r>
      <rPr>
        <sz val="12"/>
        <rFont val="宋体"/>
        <family val="0"/>
      </rPr>
      <t>混凝土</t>
    </r>
  </si>
  <si>
    <t>主要材料用量汇总表</t>
  </si>
  <si>
    <t>序号</t>
  </si>
  <si>
    <t>项目名称</t>
  </si>
  <si>
    <t>单位</t>
  </si>
  <si>
    <t>水泥</t>
  </si>
  <si>
    <t>黄砂</t>
  </si>
  <si>
    <t>碎石</t>
  </si>
  <si>
    <t>块石</t>
  </si>
  <si>
    <t>砂砾</t>
  </si>
  <si>
    <t>钢筋</t>
  </si>
  <si>
    <t>标准砖</t>
  </si>
  <si>
    <r>
      <t>（</t>
    </r>
    <r>
      <rPr>
        <sz val="12"/>
        <rFont val="Times New Roman"/>
        <family val="1"/>
      </rPr>
      <t>t</t>
    </r>
    <r>
      <rPr>
        <sz val="12"/>
        <rFont val="宋体"/>
        <family val="0"/>
      </rPr>
      <t>）</t>
    </r>
  </si>
  <si>
    <t>（千块）</t>
  </si>
  <si>
    <t>渠道疏挖项目</t>
  </si>
  <si>
    <t>渠堤段加高培厚项目</t>
  </si>
  <si>
    <t>渠道防渗衬砌项目</t>
  </si>
  <si>
    <t>渠道滑坡整治</t>
  </si>
  <si>
    <t>渠系建筑物工程</t>
  </si>
  <si>
    <t>拆除重建项目</t>
  </si>
  <si>
    <t>维修改造项目</t>
  </si>
  <si>
    <t>新建项目</t>
  </si>
  <si>
    <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</si>
  <si>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一、</t>
  </si>
  <si>
    <r>
      <t>m</t>
    </r>
    <r>
      <rPr>
        <vertAlign val="superscript"/>
        <sz val="12"/>
        <rFont val="Times New Roman"/>
        <family val="1"/>
      </rPr>
      <t>3</t>
    </r>
  </si>
  <si>
    <t>（一）</t>
  </si>
  <si>
    <t>（三）</t>
  </si>
  <si>
    <t>（四）</t>
  </si>
  <si>
    <t>二、</t>
  </si>
  <si>
    <t>砼</t>
  </si>
  <si>
    <t>浆砌块石</t>
  </si>
  <si>
    <t>渠系建筑物拆除重建工程量</t>
  </si>
  <si>
    <t>建筑物名称</t>
  </si>
  <si>
    <t>座数</t>
  </si>
  <si>
    <r>
      <t>土方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开挖（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</si>
  <si>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土方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回填（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</si>
  <si>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浆砌石拆除（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</si>
  <si>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砼拆除（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</si>
  <si>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砖砌体拆除（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</si>
  <si>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水泥砂浆粉刷（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</si>
  <si>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M5.0</t>
    </r>
    <r>
      <rPr>
        <sz val="9"/>
        <rFont val="宋体"/>
        <family val="0"/>
      </rPr>
      <t>砖砌体（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</si>
  <si>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干砌块石护坡（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</si>
  <si>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干砌块石护底（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</si>
  <si>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 xml:space="preserve"> M7.5水泥浆砌石 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</si>
  <si>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C10砼垫层（m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</si>
  <si>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r>
      <t>C20砼细部（m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</si>
  <si>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r>
      <t>C20砼（m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</si>
  <si>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r>
      <t>C25二期砼（m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</si>
  <si>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r>
      <t>钢筋</t>
    </r>
    <r>
      <rPr>
        <sz val="9"/>
        <rFont val="Times New Roman"/>
        <family val="1"/>
      </rPr>
      <t>T</t>
    </r>
  </si>
  <si>
    <r>
      <t>围堰（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</si>
  <si>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砼管</t>
    </r>
    <r>
      <rPr>
        <sz val="9"/>
        <rFont val="Times New Roman"/>
        <family val="1"/>
      </rPr>
      <t>(m)</t>
    </r>
  </si>
  <si>
    <r>
      <t>启闭室面积</t>
    </r>
    <r>
      <rPr>
        <sz val="9"/>
        <rFont val="Times New Roman"/>
        <family val="1"/>
      </rPr>
      <t>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</si>
  <si>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挡土墙</t>
  </si>
  <si>
    <t>护坡</t>
  </si>
  <si>
    <t>护底</t>
  </si>
  <si>
    <r>
      <t>Ф</t>
    </r>
    <r>
      <rPr>
        <sz val="9"/>
        <rFont val="Times New Roman"/>
        <family val="1"/>
      </rPr>
      <t>60</t>
    </r>
  </si>
  <si>
    <r>
      <t>Ф</t>
    </r>
    <r>
      <rPr>
        <sz val="9"/>
        <rFont val="Times New Roman"/>
        <family val="1"/>
      </rPr>
      <t>40</t>
    </r>
  </si>
  <si>
    <t>分水闸</t>
  </si>
  <si>
    <t>节制闸</t>
  </si>
  <si>
    <t>泄洪闸</t>
  </si>
  <si>
    <t>渡槽</t>
  </si>
  <si>
    <t>直斗门</t>
  </si>
  <si>
    <t>农用桥</t>
  </si>
  <si>
    <t>合计</t>
  </si>
  <si>
    <r>
      <t>围堰</t>
    </r>
    <r>
      <rPr>
        <sz val="12"/>
        <rFont val="Times New Roman"/>
        <family val="1"/>
      </rPr>
      <t xml:space="preserve">         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</si>
  <si>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渠系建筑物新建工程工程量</t>
  </si>
  <si>
    <t>渠系建筑物维修改造工程量</t>
  </si>
  <si>
    <t>建筑物名称</t>
  </si>
  <si>
    <t>座数</t>
  </si>
  <si>
    <r>
      <t>土方开挖（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</si>
  <si>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土方回填（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</si>
  <si>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浆砌石拆除（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</si>
  <si>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砼拆除（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</si>
  <si>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砖砌体拆除（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</si>
  <si>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水泥砂浆粉刷（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</si>
  <si>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M5.0</t>
    </r>
    <r>
      <rPr>
        <sz val="11"/>
        <rFont val="宋体"/>
        <family val="0"/>
      </rPr>
      <t>砖砌体（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</si>
  <si>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 xml:space="preserve"> M7.5水泥砂浆砌石(m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)</t>
    </r>
  </si>
  <si>
    <r>
      <t>C10砼垫层（m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</si>
  <si>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C20砼（m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</si>
  <si>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C25二期砼（m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</si>
  <si>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围堰（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</si>
  <si>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钢筋（</t>
    </r>
    <r>
      <rPr>
        <sz val="11"/>
        <rFont val="Times New Roman"/>
        <family val="1"/>
      </rPr>
      <t>t</t>
    </r>
    <r>
      <rPr>
        <sz val="11"/>
        <rFont val="宋体"/>
        <family val="0"/>
      </rPr>
      <t>）</t>
    </r>
  </si>
  <si>
    <t>挡土墙</t>
  </si>
  <si>
    <t>护坡</t>
  </si>
  <si>
    <t>护底</t>
  </si>
  <si>
    <r>
      <t>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</t>
    </r>
  </si>
  <si>
    <t>泄洪闸</t>
  </si>
  <si>
    <t>渡槽</t>
  </si>
  <si>
    <t>合计</t>
  </si>
  <si>
    <r>
      <t>土方工程量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</si>
  <si>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渠系各类闸门、金属结构设备更新及量水设施汇总表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</si>
</sst>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_ "/>
    <numFmt numFmtId="181" formatCode="0.0_);[Red]\(0.0\)"/>
    <numFmt numFmtId="182" formatCode="0_);[Red]\(0\)"/>
    <numFmt numFmtId="183" formatCode="0.00_);[Red]\(0.00\)"/>
    <numFmt numFmtId="184" formatCode="0.00_);\(0.00\)"/>
    <numFmt numFmtId="185" formatCode="0_ "/>
    <numFmt numFmtId="186" formatCode="0_);\(0\)"/>
    <numFmt numFmtId="187" formatCode="0.0_);\(0.0\)"/>
    <numFmt numFmtId="188" formatCode="&quot;￥&quot;#,##0.00_);[Red]\(&quot;￥&quot;#,##0.00\)"/>
    <numFmt numFmtId="189" formatCode="0.000_ "/>
    <numFmt numFmtId="190" formatCode="0.000000_);[Red]\(0.000000\)"/>
    <numFmt numFmtId="191" formatCode="[DBNum1][$-804]yyyy&quot;年&quot;m&quot;月&quot;"/>
    <numFmt numFmtId="192" formatCode="&quot;￥&quot;#,##0.0_);[Red]\(&quot;￥&quot;#,##0.0\)"/>
    <numFmt numFmtId="193" formatCode="#,##0.0_);[Red]\(#,##0.0\)"/>
    <numFmt numFmtId="194" formatCode="0.000_);[Red]\(0.000\)"/>
    <numFmt numFmtId="195" formatCode="0.0%"/>
    <numFmt numFmtId="196" formatCode="[DBNum1]yyyy&quot;年&quot;m&quot;月&quot;"/>
    <numFmt numFmtId="197" formatCode="#,##0.0000_);[Red]\(#,##0.0000\)"/>
    <numFmt numFmtId="198" formatCode="0.00000_);[Red]\(0.00000\)"/>
    <numFmt numFmtId="199" formatCode="0.0000_);[Red]\(0.00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华文中宋"/>
      <family val="0"/>
    </font>
    <font>
      <sz val="16"/>
      <name val="华文中宋"/>
      <family val="0"/>
    </font>
    <font>
      <sz val="14"/>
      <name val="隶书"/>
      <family val="3"/>
    </font>
    <font>
      <sz val="11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name val="宋体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宋体"/>
      <family val="0"/>
    </font>
    <font>
      <sz val="9"/>
      <name val="黑体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 vertical="center"/>
    </xf>
    <xf numFmtId="181" fontId="0" fillId="0" borderId="5" xfId="0" applyNumberFormat="1" applyBorder="1" applyAlignment="1">
      <alignment horizontal="center" vertical="center" wrapText="1"/>
    </xf>
    <xf numFmtId="181" fontId="3" fillId="0" borderId="5" xfId="0" applyNumberFormat="1" applyFont="1" applyBorder="1" applyAlignment="1">
      <alignment horizontal="center" vertical="center" wrapText="1"/>
    </xf>
    <xf numFmtId="181" fontId="3" fillId="0" borderId="6" xfId="0" applyNumberFormat="1" applyFont="1" applyBorder="1" applyAlignment="1">
      <alignment horizontal="center" vertical="center" wrapText="1"/>
    </xf>
    <xf numFmtId="181" fontId="0" fillId="0" borderId="4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183" fontId="0" fillId="0" borderId="5" xfId="0" applyNumberFormat="1" applyFont="1" applyBorder="1" applyAlignment="1">
      <alignment horizontal="center" vertical="center" wrapText="1"/>
    </xf>
    <xf numFmtId="182" fontId="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top" wrapText="1"/>
    </xf>
    <xf numFmtId="182" fontId="2" fillId="0" borderId="12" xfId="0" applyNumberFormat="1" applyFont="1" applyBorder="1" applyAlignment="1">
      <alignment horizontal="center" vertical="top" wrapText="1"/>
    </xf>
    <xf numFmtId="182" fontId="0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83" fontId="0" fillId="0" borderId="8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182" fontId="0" fillId="0" borderId="6" xfId="0" applyNumberFormat="1" applyBorder="1" applyAlignment="1">
      <alignment horizontal="center" vertical="center" wrapText="1"/>
    </xf>
    <xf numFmtId="182" fontId="0" fillId="0" borderId="8" xfId="0" applyNumberForma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2" fontId="0" fillId="0" borderId="6" xfId="0" applyNumberFormat="1" applyFont="1" applyBorder="1" applyAlignment="1">
      <alignment horizontal="center" vertical="center" wrapText="1"/>
    </xf>
    <xf numFmtId="182" fontId="0" fillId="0" borderId="9" xfId="0" applyNumberFormat="1" applyBorder="1" applyAlignment="1">
      <alignment horizontal="center" vertical="center" wrapText="1"/>
    </xf>
    <xf numFmtId="185" fontId="2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83" fontId="12" fillId="0" borderId="0" xfId="0" applyNumberFormat="1" applyFont="1" applyAlignment="1">
      <alignment horizontal="centerContinuous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179" fontId="13" fillId="0" borderId="2" xfId="0" applyNumberFormat="1" applyFont="1" applyBorder="1" applyAlignment="1">
      <alignment horizontal="center" vertical="center"/>
    </xf>
    <xf numFmtId="183" fontId="13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9" fontId="0" fillId="0" borderId="5" xfId="0" applyNumberFormat="1" applyFont="1" applyBorder="1" applyAlignment="1">
      <alignment horizontal="center" vertical="center"/>
    </xf>
    <xf numFmtId="183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9" fontId="0" fillId="0" borderId="5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83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 vertical="center"/>
    </xf>
    <xf numFmtId="183" fontId="0" fillId="0" borderId="10" xfId="0" applyNumberForma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top" wrapText="1"/>
    </xf>
    <xf numFmtId="183" fontId="0" fillId="0" borderId="0" xfId="0" applyNumberFormat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/>
    </xf>
    <xf numFmtId="181" fontId="0" fillId="0" borderId="5" xfId="0" applyNumberFormat="1" applyFont="1" applyBorder="1" applyAlignment="1">
      <alignment vertical="center"/>
    </xf>
    <xf numFmtId="181" fontId="0" fillId="0" borderId="8" xfId="0" applyNumberForma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 wrapText="1"/>
    </xf>
    <xf numFmtId="180" fontId="14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 wrapText="1"/>
    </xf>
    <xf numFmtId="181" fontId="0" fillId="0" borderId="5" xfId="0" applyNumberFormat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/>
    </xf>
    <xf numFmtId="181" fontId="0" fillId="0" borderId="5" xfId="0" applyNumberFormat="1" applyFon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1" fontId="0" fillId="0" borderId="25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1" fontId="0" fillId="0" borderId="4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XP\&#22823;&#35266;&#26725;&#27700;&#24211;&#21487;\&#27010;&#31639;&#23450;&#39069;\&#20272;&#31639;&#34920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XP\&#22823;&#35266;&#26725;&#27700;&#24211;&#21487;\&#27010;&#31639;&#23450;&#39069;\&#30732;&#30707;&#21333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XP\&#22823;&#35266;&#26725;&#27700;&#24211;&#21487;\&#27010;&#31639;&#23450;&#39069;\&#39044;&#31639;&#21333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XP\&#22823;&#35266;&#26725;&#27700;&#24211;&#21487;\&#27010;&#31639;&#23450;&#39069;\&#30780;&#21333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年度投资"/>
      <sheetName val="总估算表"/>
      <sheetName val="建筑工程概算表"/>
      <sheetName val="机电设备及安装工程估算表"/>
      <sheetName val="金属结构设备及安装工程"/>
      <sheetName val="临时工程预算表"/>
      <sheetName val="独立费用预算表"/>
      <sheetName val="工时数量汇总表"/>
      <sheetName val="材料价差表"/>
    </sheetNames>
    <sheetDataSet>
      <sheetData sheetId="2">
        <row r="6">
          <cell r="F6">
            <v>9770</v>
          </cell>
        </row>
        <row r="7">
          <cell r="F7">
            <v>5400</v>
          </cell>
        </row>
        <row r="8">
          <cell r="F8">
            <v>5400</v>
          </cell>
        </row>
        <row r="9">
          <cell r="F9">
            <v>22400</v>
          </cell>
        </row>
        <row r="11">
          <cell r="F11">
            <v>67500</v>
          </cell>
        </row>
        <row r="12">
          <cell r="F12">
            <v>116840</v>
          </cell>
        </row>
        <row r="15">
          <cell r="F15">
            <v>7730</v>
          </cell>
        </row>
        <row r="16">
          <cell r="F16">
            <v>1239</v>
          </cell>
        </row>
        <row r="17">
          <cell r="F17">
            <v>11430.9</v>
          </cell>
        </row>
        <row r="22">
          <cell r="F22">
            <v>2950</v>
          </cell>
        </row>
        <row r="24">
          <cell r="F24">
            <v>6020</v>
          </cell>
        </row>
        <row r="25">
          <cell r="F25">
            <v>666</v>
          </cell>
        </row>
        <row r="26">
          <cell r="F26">
            <v>8315.999999999998</v>
          </cell>
        </row>
        <row r="30">
          <cell r="F30">
            <v>56400</v>
          </cell>
        </row>
        <row r="31">
          <cell r="F31">
            <v>2520</v>
          </cell>
        </row>
        <row r="34">
          <cell r="F34">
            <v>666</v>
          </cell>
        </row>
        <row r="35">
          <cell r="F35">
            <v>8099.999999999998</v>
          </cell>
        </row>
        <row r="40">
          <cell r="F40">
            <v>2430</v>
          </cell>
        </row>
        <row r="42">
          <cell r="F42">
            <v>3800</v>
          </cell>
        </row>
        <row r="43">
          <cell r="F43">
            <v>5600</v>
          </cell>
        </row>
        <row r="44">
          <cell r="F44">
            <v>5003</v>
          </cell>
        </row>
        <row r="45">
          <cell r="F45">
            <v>320</v>
          </cell>
        </row>
        <row r="48">
          <cell r="F48">
            <v>5682</v>
          </cell>
        </row>
        <row r="49">
          <cell r="F49">
            <v>1876</v>
          </cell>
        </row>
        <row r="50">
          <cell r="F50">
            <v>583</v>
          </cell>
        </row>
        <row r="51">
          <cell r="F51">
            <v>584</v>
          </cell>
        </row>
        <row r="57">
          <cell r="F57">
            <v>428.40000000000003</v>
          </cell>
        </row>
        <row r="58">
          <cell r="F58">
            <v>552.3000000000001</v>
          </cell>
        </row>
        <row r="59">
          <cell r="F59">
            <v>250.39999999999998</v>
          </cell>
        </row>
        <row r="61">
          <cell r="F61">
            <v>15.2</v>
          </cell>
        </row>
        <row r="62">
          <cell r="F62">
            <v>834.9000000000001</v>
          </cell>
        </row>
        <row r="64">
          <cell r="F64">
            <v>72.67</v>
          </cell>
        </row>
        <row r="67">
          <cell r="F67">
            <v>2550.3</v>
          </cell>
        </row>
        <row r="70">
          <cell r="F70">
            <v>515</v>
          </cell>
        </row>
        <row r="71">
          <cell r="F71">
            <v>327</v>
          </cell>
        </row>
        <row r="72">
          <cell r="F72">
            <v>492.5</v>
          </cell>
        </row>
        <row r="73">
          <cell r="F73">
            <v>85</v>
          </cell>
        </row>
        <row r="77">
          <cell r="F77">
            <v>242.025</v>
          </cell>
        </row>
        <row r="78">
          <cell r="F78">
            <v>311.175</v>
          </cell>
        </row>
        <row r="79">
          <cell r="F79">
            <v>138.29999999999998</v>
          </cell>
        </row>
        <row r="81">
          <cell r="F81">
            <v>122</v>
          </cell>
        </row>
        <row r="83">
          <cell r="F83">
            <v>1.3</v>
          </cell>
        </row>
        <row r="84">
          <cell r="F84">
            <v>388.79999999999995</v>
          </cell>
        </row>
        <row r="86">
          <cell r="F86">
            <v>3275</v>
          </cell>
        </row>
        <row r="87">
          <cell r="F87">
            <v>2460</v>
          </cell>
        </row>
        <row r="88">
          <cell r="F88">
            <v>318.5</v>
          </cell>
        </row>
        <row r="89">
          <cell r="F89">
            <v>457</v>
          </cell>
        </row>
        <row r="90">
          <cell r="F90">
            <v>137</v>
          </cell>
        </row>
        <row r="92">
          <cell r="F92">
            <v>150.5</v>
          </cell>
        </row>
        <row r="94">
          <cell r="F94">
            <v>6.0825</v>
          </cell>
        </row>
        <row r="96">
          <cell r="F96">
            <v>1404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5水泥砂浆"/>
      <sheetName val="碎石垫层"/>
      <sheetName val="人工抛石护岸"/>
      <sheetName val="浆砌块石拆除"/>
      <sheetName val="干砌块石拆除 "/>
      <sheetName val="干砌块石护坡"/>
      <sheetName val="干砌块石护底"/>
      <sheetName val="M7.5浆砌块石挡土墙"/>
      <sheetName val="M7.5浆砌块石护底"/>
      <sheetName val="M7.5浆砌块石护坡 "/>
    </sheetNames>
    <sheetDataSet>
      <sheetData sheetId="7">
        <row r="15">
          <cell r="F15">
            <v>108</v>
          </cell>
        </row>
        <row r="16">
          <cell r="F16">
            <v>34.4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人工预算单价"/>
      <sheetName val="主要、其它材料预算价格汇总表"/>
      <sheetName val="主要、其它材料预算价格计算表"/>
      <sheetName val="混凝土材料单价"/>
      <sheetName val="水泥砂浆单价"/>
    </sheetNames>
    <sheetDataSet>
      <sheetData sheetId="3">
        <row r="7">
          <cell r="J7">
            <v>340.1530000000001</v>
          </cell>
          <cell r="L7">
            <v>0.52822</v>
          </cell>
          <cell r="M7">
            <v>0.8414280000000002</v>
          </cell>
        </row>
      </sheetData>
      <sheetData sheetId="4">
        <row r="7">
          <cell r="D7">
            <v>261</v>
          </cell>
          <cell r="E7">
            <v>1.11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10砼垫层 "/>
      <sheetName val="C15明渠砼"/>
      <sheetName val="砼拆除"/>
      <sheetName val="钢筋制安"/>
      <sheetName val="C25二期砼"/>
      <sheetName val="C20砼梁、板、柱 "/>
      <sheetName val="C20胸墙砼"/>
      <sheetName val="C20砼护坦"/>
      <sheetName val="C20暗渠砼"/>
      <sheetName val="砼拌制"/>
      <sheetName val="自卸汽车运砼"/>
      <sheetName val="胶轮车砼运输"/>
      <sheetName val="C20砼基础"/>
      <sheetName val="C20砼护坡框格"/>
    </sheetNames>
    <sheetDataSet>
      <sheetData sheetId="5">
        <row r="13">
          <cell r="F13">
            <v>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workbookViewId="0" topLeftCell="A1">
      <selection activeCell="C12" sqref="C12"/>
    </sheetView>
  </sheetViews>
  <sheetFormatPr defaultColWidth="9.00390625" defaultRowHeight="30" customHeight="1"/>
  <cols>
    <col min="1" max="1" width="9.50390625" style="0" customWidth="1"/>
    <col min="2" max="2" width="25.25390625" style="0" customWidth="1"/>
    <col min="4" max="5" width="10.625" style="0" hidden="1" customWidth="1"/>
    <col min="6" max="7" width="9.50390625" style="0" customWidth="1"/>
    <col min="8" max="8" width="9.50390625" style="88" customWidth="1"/>
    <col min="9" max="11" width="9.50390625" style="89" customWidth="1"/>
    <col min="12" max="12" width="10.625" style="89" hidden="1" customWidth="1"/>
    <col min="13" max="13" width="14.375" style="2" customWidth="1"/>
  </cols>
  <sheetData>
    <row r="1" spans="1:13" s="72" customFormat="1" ht="30" customHeight="1" thickBot="1">
      <c r="A1" s="67" t="s">
        <v>127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9"/>
      <c r="M1" s="68"/>
    </row>
    <row r="2" spans="1:13" ht="30" customHeight="1">
      <c r="A2" s="139" t="s">
        <v>128</v>
      </c>
      <c r="B2" s="141" t="s">
        <v>129</v>
      </c>
      <c r="C2" s="141" t="s">
        <v>130</v>
      </c>
      <c r="D2" s="137" t="s">
        <v>15</v>
      </c>
      <c r="E2" s="138"/>
      <c r="F2" s="74" t="s">
        <v>131</v>
      </c>
      <c r="G2" s="73" t="s">
        <v>132</v>
      </c>
      <c r="H2" s="75" t="s">
        <v>133</v>
      </c>
      <c r="I2" s="75" t="s">
        <v>134</v>
      </c>
      <c r="J2" s="75" t="s">
        <v>135</v>
      </c>
      <c r="K2" s="75" t="s">
        <v>136</v>
      </c>
      <c r="L2" s="75" t="s">
        <v>137</v>
      </c>
      <c r="M2" s="133" t="s">
        <v>105</v>
      </c>
    </row>
    <row r="3" spans="1:13" ht="30" customHeight="1">
      <c r="A3" s="140"/>
      <c r="B3" s="142"/>
      <c r="C3" s="142"/>
      <c r="D3" s="76" t="s">
        <v>155</v>
      </c>
      <c r="E3" s="76" t="s">
        <v>156</v>
      </c>
      <c r="F3" s="77" t="s">
        <v>138</v>
      </c>
      <c r="G3" s="78" t="s">
        <v>148</v>
      </c>
      <c r="H3" s="79" t="s">
        <v>148</v>
      </c>
      <c r="I3" s="79" t="s">
        <v>148</v>
      </c>
      <c r="J3" s="79" t="s">
        <v>148</v>
      </c>
      <c r="K3" s="77" t="s">
        <v>138</v>
      </c>
      <c r="L3" s="79" t="s">
        <v>139</v>
      </c>
      <c r="M3" s="134"/>
    </row>
    <row r="4" spans="1:13" ht="30" customHeight="1">
      <c r="A4" s="81" t="s">
        <v>149</v>
      </c>
      <c r="B4" s="82" t="s">
        <v>106</v>
      </c>
      <c r="C4" s="12" t="s">
        <v>150</v>
      </c>
      <c r="D4" s="94">
        <f aca="true" t="shared" si="0" ref="D4:K4">SUM(D5:D8)</f>
        <v>27846.899999999994</v>
      </c>
      <c r="E4" s="94">
        <f t="shared" si="0"/>
        <v>5323</v>
      </c>
      <c r="F4" s="94">
        <f t="shared" si="0"/>
        <v>10234.293004971001</v>
      </c>
      <c r="G4" s="94">
        <f t="shared" si="0"/>
        <v>17183.102523539997</v>
      </c>
      <c r="H4" s="94">
        <f t="shared" si="0"/>
        <v>24134.096214396</v>
      </c>
      <c r="I4" s="94">
        <f t="shared" si="0"/>
        <v>5748.84</v>
      </c>
      <c r="J4" s="94">
        <f t="shared" si="0"/>
        <v>0</v>
      </c>
      <c r="K4" s="94">
        <f t="shared" si="0"/>
        <v>0</v>
      </c>
      <c r="L4" s="83"/>
      <c r="M4" s="8"/>
    </row>
    <row r="5" spans="1:13" ht="30" customHeight="1">
      <c r="A5" s="81" t="s">
        <v>151</v>
      </c>
      <c r="B5" s="82" t="s">
        <v>140</v>
      </c>
      <c r="C5" s="12" t="s">
        <v>150</v>
      </c>
      <c r="D5" s="80"/>
      <c r="E5" s="80"/>
      <c r="F5" s="94"/>
      <c r="G5" s="94"/>
      <c r="H5" s="94"/>
      <c r="I5" s="83"/>
      <c r="J5" s="83"/>
      <c r="K5" s="83"/>
      <c r="L5" s="83"/>
      <c r="M5" s="8"/>
    </row>
    <row r="6" spans="1:13" ht="30" customHeight="1">
      <c r="A6" s="81" t="s">
        <v>111</v>
      </c>
      <c r="B6" s="82" t="s">
        <v>141</v>
      </c>
      <c r="C6" s="12" t="s">
        <v>150</v>
      </c>
      <c r="D6" s="80"/>
      <c r="E6" s="80"/>
      <c r="F6" s="94"/>
      <c r="G6" s="94"/>
      <c r="H6" s="94"/>
      <c r="I6" s="83"/>
      <c r="J6" s="83"/>
      <c r="K6" s="83"/>
      <c r="L6" s="83"/>
      <c r="M6" s="84"/>
    </row>
    <row r="7" spans="1:13" ht="30" customHeight="1">
      <c r="A7" s="81" t="s">
        <v>152</v>
      </c>
      <c r="B7" s="82" t="s">
        <v>142</v>
      </c>
      <c r="C7" s="12" t="s">
        <v>150</v>
      </c>
      <c r="D7" s="80">
        <f>'主要工程量'!I7</f>
        <v>27846.899999999994</v>
      </c>
      <c r="E7" s="80"/>
      <c r="F7" s="94">
        <f>D7*'[4]C20砼梁、板、柱 '!$F$13/100*'[3]混凝土材料单价'!$J$7/1000</f>
        <v>9756.372772971</v>
      </c>
      <c r="G7" s="94">
        <f>D7*'[4]C20砼梁、板、柱 '!$F$13/100*'[3]混凝土材料单价'!$L$7</f>
        <v>15150.568203539997</v>
      </c>
      <c r="H7" s="94">
        <f>D7*'[4]C20砼梁、板、柱 '!$F$13/100*'[3]混凝土材料单价'!$M$7</f>
        <v>24134.096214396</v>
      </c>
      <c r="I7" s="83"/>
      <c r="J7" s="83"/>
      <c r="K7" s="83"/>
      <c r="L7" s="83"/>
      <c r="M7" s="8"/>
    </row>
    <row r="8" spans="1:13" ht="30" customHeight="1">
      <c r="A8" s="81" t="s">
        <v>153</v>
      </c>
      <c r="B8" s="82" t="s">
        <v>143</v>
      </c>
      <c r="C8" s="12" t="s">
        <v>150</v>
      </c>
      <c r="D8" s="80"/>
      <c r="E8" s="80">
        <f>'主要工程量'!H8</f>
        <v>5323</v>
      </c>
      <c r="F8" s="94">
        <f>E8*'[2]M7.5浆砌块石挡土墙'!$F$16/100*'[3]水泥砂浆单价'!$D$7/1000</f>
        <v>477.92023199999994</v>
      </c>
      <c r="G8" s="94">
        <f>E8*'[2]M7.5浆砌块石挡土墙'!$F$16/100*'[3]水泥砂浆单价'!$E$7</f>
        <v>2032.53432</v>
      </c>
      <c r="H8" s="94"/>
      <c r="I8" s="85">
        <f>E8*'[2]M7.5浆砌块石挡土墙'!$F$15/100</f>
        <v>5748.84</v>
      </c>
      <c r="J8" s="85"/>
      <c r="K8" s="85"/>
      <c r="L8" s="85"/>
      <c r="M8" s="8"/>
    </row>
    <row r="9" spans="1:13" ht="30" customHeight="1">
      <c r="A9" s="81" t="s">
        <v>154</v>
      </c>
      <c r="B9" s="82" t="s">
        <v>144</v>
      </c>
      <c r="C9" s="12" t="s">
        <v>150</v>
      </c>
      <c r="D9" s="80">
        <f>SUM(D10:D12)</f>
        <v>1122.6000000000001</v>
      </c>
      <c r="E9" s="80">
        <f aca="true" t="shared" si="1" ref="E9:K9">SUM(E10:E12)</f>
        <v>2835.1</v>
      </c>
      <c r="F9" s="93">
        <f t="shared" si="1"/>
        <v>647.8580489340001</v>
      </c>
      <c r="G9" s="93">
        <f t="shared" si="1"/>
        <v>1693.32374916</v>
      </c>
      <c r="H9" s="93">
        <f t="shared" si="1"/>
        <v>972.9246849840004</v>
      </c>
      <c r="I9" s="80"/>
      <c r="J9" s="80">
        <f t="shared" si="1"/>
        <v>0</v>
      </c>
      <c r="K9" s="78">
        <f t="shared" si="1"/>
        <v>80.0525</v>
      </c>
      <c r="L9" s="85"/>
      <c r="M9" s="8"/>
    </row>
    <row r="10" spans="1:13" ht="30" customHeight="1">
      <c r="A10" s="81" t="s">
        <v>151</v>
      </c>
      <c r="B10" s="82" t="s">
        <v>145</v>
      </c>
      <c r="C10" s="12" t="s">
        <v>150</v>
      </c>
      <c r="D10" s="80">
        <f>'主要工程量'!J10</f>
        <v>850.1000000000001</v>
      </c>
      <c r="E10" s="80">
        <f>'主要工程量'!H10</f>
        <v>1231.1</v>
      </c>
      <c r="F10" s="94">
        <f>D10*'[4]C20砼梁、板、柱 '!$F$13/100*'[3]混凝土材料单价'!$J$7/1000+E10*'[2]M7.5浆砌块石挡土墙'!$F$16/100*'[3]水泥砂浆单价'!$D$7/1000</f>
        <v>408.3720696590001</v>
      </c>
      <c r="G10" s="94">
        <f>D10*'[4]C20砼梁、板、柱 '!$F$13/100*'[3]混凝土材料单价'!$L$7+E10*'[2]M7.5浆砌块石挡土墙'!$F$16/100*'[3]水泥砂浆单价'!$E$7</f>
        <v>932.5942406600001</v>
      </c>
      <c r="H10" s="94">
        <f>D10*'[4]C20砼梁、板、柱 '!$F$13/100*'[3]混凝土材料单价'!$M$7</f>
        <v>736.7568810840003</v>
      </c>
      <c r="I10" s="85"/>
      <c r="J10" s="85"/>
      <c r="K10" s="85">
        <f>'主要工程量'!L10</f>
        <v>72.67</v>
      </c>
      <c r="L10" s="85"/>
      <c r="M10" s="8"/>
    </row>
    <row r="11" spans="1:13" ht="30" customHeight="1">
      <c r="A11" s="81" t="s">
        <v>111</v>
      </c>
      <c r="B11" s="82" t="s">
        <v>146</v>
      </c>
      <c r="C11" s="12" t="s">
        <v>150</v>
      </c>
      <c r="D11" s="80">
        <f>'主要工程量'!J11</f>
        <v>122</v>
      </c>
      <c r="E11" s="80">
        <f>'主要工程量'!H11</f>
        <v>691.5</v>
      </c>
      <c r="F11" s="94">
        <f>D11*'[4]C20砼梁、板、柱 '!$F$13/100*'[3]混凝土材料单价'!$J$7/1000+E11*'[2]M7.5浆砌块石挡土墙'!$F$16/100*'[3]水泥砂浆单价'!$D$7/1000</f>
        <v>104.82926198000001</v>
      </c>
      <c r="G11" s="94">
        <f>D11*'[4]C20砼梁、板、柱 '!$F$13/100*'[3]混凝土材料单价'!$L$7+E11*'[2]M7.5浆砌块石挡土墙'!$F$16/100*'[3]水泥砂浆单价'!$E$7</f>
        <v>330.41848519999996</v>
      </c>
      <c r="H11" s="94">
        <f>D11*'[4]C20砼梁、板、柱 '!$F$13/100*'[3]混凝土材料单价'!$M$7</f>
        <v>105.73384248000002</v>
      </c>
      <c r="I11" s="85"/>
      <c r="J11" s="85"/>
      <c r="K11" s="85">
        <f>'主要工程量'!L11</f>
        <v>1.3</v>
      </c>
      <c r="L11" s="85"/>
      <c r="M11" s="8"/>
    </row>
    <row r="12" spans="1:13" ht="30" customHeight="1">
      <c r="A12" s="81" t="s">
        <v>152</v>
      </c>
      <c r="B12" s="82" t="s">
        <v>147</v>
      </c>
      <c r="C12" s="12" t="s">
        <v>150</v>
      </c>
      <c r="D12" s="80">
        <f>'主要工程量'!J12</f>
        <v>150.5</v>
      </c>
      <c r="E12" s="80">
        <f>'主要工程量'!H12</f>
        <v>912.5</v>
      </c>
      <c r="F12" s="94">
        <f>D12*'[4]C20砼梁、板、柱 '!$F$13/100*'[3]混凝土材料单价'!$J$7/1000+E12*'[2]M7.5浆砌块石挡土墙'!$F$16/100*'[3]水泥砂浆单价'!$D$7/1000</f>
        <v>134.656717295</v>
      </c>
      <c r="G12" s="94">
        <f>D12*'[4]C20砼梁、板、柱 '!$F$13/100*'[3]混凝土材料单价'!$L$7+E12*'[2]M7.5浆砌块石挡土墙'!$F$16/100*'[3]水泥砂浆单价'!$E$7</f>
        <v>430.31102330000004</v>
      </c>
      <c r="H12" s="94">
        <f>D12*'[4]C20砼梁、板、柱 '!$F$13/100*'[3]混凝土材料单价'!$M$7</f>
        <v>130.43396142</v>
      </c>
      <c r="I12" s="85"/>
      <c r="J12" s="85"/>
      <c r="K12" s="85">
        <f>'主要工程量'!L12</f>
        <v>6.0825</v>
      </c>
      <c r="L12" s="85"/>
      <c r="M12" s="8"/>
    </row>
    <row r="13" spans="1:13" ht="30" customHeight="1" thickBot="1">
      <c r="A13" s="135" t="s">
        <v>6</v>
      </c>
      <c r="B13" s="136"/>
      <c r="C13" s="86"/>
      <c r="D13" s="95">
        <f>D4+D9</f>
        <v>28969.499999999993</v>
      </c>
      <c r="E13" s="95">
        <f aca="true" t="shared" si="2" ref="E13:K13">E4+E9</f>
        <v>8158.1</v>
      </c>
      <c r="F13" s="95">
        <f t="shared" si="2"/>
        <v>10882.151053905001</v>
      </c>
      <c r="G13" s="95">
        <f t="shared" si="2"/>
        <v>18876.4262727</v>
      </c>
      <c r="H13" s="95">
        <f t="shared" si="2"/>
        <v>25107.02089938</v>
      </c>
      <c r="I13" s="95">
        <f t="shared" si="2"/>
        <v>5748.84</v>
      </c>
      <c r="J13" s="95">
        <f t="shared" si="2"/>
        <v>0</v>
      </c>
      <c r="K13" s="95">
        <f t="shared" si="2"/>
        <v>80.0525</v>
      </c>
      <c r="L13" s="87"/>
      <c r="M13" s="11"/>
    </row>
  </sheetData>
  <mergeCells count="6">
    <mergeCell ref="M2:M3"/>
    <mergeCell ref="A13:B13"/>
    <mergeCell ref="D2:E2"/>
    <mergeCell ref="A2:A3"/>
    <mergeCell ref="B2:B3"/>
    <mergeCell ref="C2:C3"/>
  </mergeCells>
  <printOptions horizontalCentered="1" verticalCentered="1"/>
  <pageMargins left="0.9448818897637796" right="0.7480314960629921" top="0.984251968503937" bottom="0.984251968503937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J9" sqref="J9"/>
    </sheetView>
  </sheetViews>
  <sheetFormatPr defaultColWidth="9.00390625" defaultRowHeight="27.75" customHeight="1"/>
  <cols>
    <col min="1" max="1" width="11.00390625" style="0" customWidth="1"/>
    <col min="2" max="2" width="10.875" style="0" customWidth="1"/>
  </cols>
  <sheetData>
    <row r="1" spans="1:12" ht="27.75" customHeight="1">
      <c r="A1" s="183" t="s">
        <v>216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ht="27.75" customHeight="1" thickBot="1"/>
    <row r="3" spans="1:12" ht="27.75" customHeight="1">
      <c r="A3" s="166" t="s">
        <v>33</v>
      </c>
      <c r="B3" s="14" t="s">
        <v>34</v>
      </c>
      <c r="C3" s="170" t="s">
        <v>35</v>
      </c>
      <c r="D3" s="171"/>
      <c r="E3" s="171"/>
      <c r="F3" s="171"/>
      <c r="G3" s="171"/>
      <c r="H3" s="171"/>
      <c r="I3" s="171"/>
      <c r="J3" s="172"/>
      <c r="K3" s="184" t="s">
        <v>55</v>
      </c>
      <c r="L3" s="164" t="s">
        <v>36</v>
      </c>
    </row>
    <row r="4" spans="1:12" ht="27.75" customHeight="1">
      <c r="A4" s="167"/>
      <c r="B4" s="16" t="s">
        <v>37</v>
      </c>
      <c r="C4" s="22" t="s">
        <v>40</v>
      </c>
      <c r="D4" s="22" t="s">
        <v>40</v>
      </c>
      <c r="E4" s="22" t="s">
        <v>46</v>
      </c>
      <c r="F4" s="22" t="s">
        <v>39</v>
      </c>
      <c r="G4" s="22" t="s">
        <v>39</v>
      </c>
      <c r="H4" s="22" t="s">
        <v>38</v>
      </c>
      <c r="I4" s="22" t="s">
        <v>38</v>
      </c>
      <c r="J4" s="22" t="s">
        <v>39</v>
      </c>
      <c r="K4" s="185"/>
      <c r="L4" s="165"/>
    </row>
    <row r="5" spans="1:12" ht="27.75" customHeight="1">
      <c r="A5" s="167"/>
      <c r="B5" s="16" t="s">
        <v>41</v>
      </c>
      <c r="C5" s="22" t="s">
        <v>47</v>
      </c>
      <c r="D5" s="22" t="s">
        <v>48</v>
      </c>
      <c r="E5" s="22" t="s">
        <v>49</v>
      </c>
      <c r="F5" s="22" t="s">
        <v>50</v>
      </c>
      <c r="G5" s="22" t="s">
        <v>51</v>
      </c>
      <c r="H5" s="22" t="s">
        <v>52</v>
      </c>
      <c r="I5" s="22" t="s">
        <v>53</v>
      </c>
      <c r="J5" s="22" t="s">
        <v>54</v>
      </c>
      <c r="K5" s="182"/>
      <c r="L5" s="165"/>
    </row>
    <row r="6" spans="1:12" ht="27.75" customHeight="1">
      <c r="A6" s="15" t="s">
        <v>42</v>
      </c>
      <c r="B6" s="16"/>
      <c r="C6" s="16">
        <v>23</v>
      </c>
      <c r="D6" s="16"/>
      <c r="E6" s="16"/>
      <c r="F6" s="16"/>
      <c r="G6" s="16">
        <v>1</v>
      </c>
      <c r="H6" s="16">
        <v>1</v>
      </c>
      <c r="I6" s="16">
        <v>1</v>
      </c>
      <c r="J6" s="16"/>
      <c r="K6" s="16">
        <v>4</v>
      </c>
      <c r="L6" s="17"/>
    </row>
    <row r="7" spans="1:12" ht="27.75" customHeight="1">
      <c r="A7" s="15" t="s">
        <v>43</v>
      </c>
      <c r="B7" s="16"/>
      <c r="C7" s="16">
        <v>40</v>
      </c>
      <c r="D7" s="16">
        <v>1</v>
      </c>
      <c r="E7" s="16">
        <v>3</v>
      </c>
      <c r="F7" s="16">
        <v>1</v>
      </c>
      <c r="G7" s="16"/>
      <c r="H7" s="16"/>
      <c r="I7" s="16"/>
      <c r="J7" s="16"/>
      <c r="K7" s="16">
        <v>8</v>
      </c>
      <c r="L7" s="17"/>
    </row>
    <row r="8" spans="1:12" ht="27.75" customHeight="1">
      <c r="A8" s="15" t="s">
        <v>44</v>
      </c>
      <c r="B8" s="16"/>
      <c r="C8" s="16">
        <v>23</v>
      </c>
      <c r="D8" s="16"/>
      <c r="E8" s="16"/>
      <c r="F8" s="16">
        <v>2</v>
      </c>
      <c r="G8" s="16">
        <v>2</v>
      </c>
      <c r="H8" s="16">
        <v>1</v>
      </c>
      <c r="I8" s="16"/>
      <c r="J8" s="16">
        <v>1</v>
      </c>
      <c r="K8" s="16">
        <v>8</v>
      </c>
      <c r="L8" s="17"/>
    </row>
    <row r="9" spans="1:12" ht="27.75" customHeight="1">
      <c r="A9" s="15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27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27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27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27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27.75" customHeight="1">
      <c r="A14" s="15" t="s">
        <v>6</v>
      </c>
      <c r="B14" s="16"/>
      <c r="C14" s="16">
        <f>SUM(C6:C13)</f>
        <v>86</v>
      </c>
      <c r="D14" s="16">
        <f>SUM(D7:D13)</f>
        <v>1</v>
      </c>
      <c r="E14" s="16">
        <f>SUM(E6:E13)</f>
        <v>3</v>
      </c>
      <c r="F14" s="16">
        <f>SUM(F7:F13)</f>
        <v>3</v>
      </c>
      <c r="G14" s="16">
        <f>SUM(G6:G13)</f>
        <v>3</v>
      </c>
      <c r="H14" s="16">
        <f>SUM(H6:H13)</f>
        <v>2</v>
      </c>
      <c r="I14" s="16">
        <f>SUM(I6:I13)</f>
        <v>1</v>
      </c>
      <c r="J14" s="16">
        <f>SUM(J6:J13)</f>
        <v>1</v>
      </c>
      <c r="K14" s="16">
        <f>SUM(K6:K13)</f>
        <v>20</v>
      </c>
      <c r="L14" s="17"/>
    </row>
  </sheetData>
  <mergeCells count="5">
    <mergeCell ref="A1:L1"/>
    <mergeCell ref="A3:A5"/>
    <mergeCell ref="L3:L5"/>
    <mergeCell ref="C3:J3"/>
    <mergeCell ref="K3:K5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 topLeftCell="A1">
      <selection activeCell="J9" sqref="J9"/>
    </sheetView>
  </sheetViews>
  <sheetFormatPr defaultColWidth="9.00390625" defaultRowHeight="30" customHeight="1"/>
  <cols>
    <col min="1" max="1" width="7.00390625" style="47" customWidth="1"/>
    <col min="2" max="2" width="20.375" style="47" customWidth="1"/>
    <col min="3" max="3" width="8.00390625" style="47" customWidth="1"/>
    <col min="4" max="4" width="9.00390625" style="47" customWidth="1"/>
    <col min="5" max="5" width="8.00390625" style="47" customWidth="1"/>
    <col min="6" max="6" width="8.50390625" style="63" customWidth="1"/>
    <col min="7" max="7" width="7.875" style="63" customWidth="1"/>
    <col min="8" max="8" width="7.50390625" style="63" customWidth="1"/>
    <col min="9" max="9" width="9.00390625" style="63" customWidth="1"/>
    <col min="10" max="10" width="7.25390625" style="63" customWidth="1"/>
    <col min="11" max="11" width="7.00390625" style="63" customWidth="1"/>
    <col min="12" max="12" width="7.625" style="92" customWidth="1"/>
    <col min="13" max="13" width="7.50390625" style="63" customWidth="1"/>
    <col min="14" max="14" width="6.125" style="63" customWidth="1"/>
    <col min="15" max="16384" width="9.00390625" style="47" customWidth="1"/>
  </cols>
  <sheetData>
    <row r="1" spans="2:14" ht="30" customHeight="1" thickBot="1">
      <c r="B1" s="143" t="s">
        <v>98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55" customFormat="1" ht="42" customHeight="1">
      <c r="A2" s="145" t="s">
        <v>92</v>
      </c>
      <c r="B2" s="146"/>
      <c r="C2" s="49" t="s">
        <v>124</v>
      </c>
      <c r="D2" s="49" t="s">
        <v>123</v>
      </c>
      <c r="E2" s="28" t="s">
        <v>125</v>
      </c>
      <c r="F2" s="49" t="s">
        <v>99</v>
      </c>
      <c r="G2" s="49" t="s">
        <v>100</v>
      </c>
      <c r="H2" s="51" t="s">
        <v>104</v>
      </c>
      <c r="I2" s="50" t="s">
        <v>101</v>
      </c>
      <c r="J2" s="50" t="s">
        <v>126</v>
      </c>
      <c r="K2" s="51" t="s">
        <v>103</v>
      </c>
      <c r="L2" s="90" t="s">
        <v>95</v>
      </c>
      <c r="M2" s="51" t="s">
        <v>102</v>
      </c>
      <c r="N2" s="59" t="s">
        <v>105</v>
      </c>
    </row>
    <row r="3" spans="1:14" s="56" customFormat="1" ht="22.5" customHeight="1">
      <c r="A3" s="147"/>
      <c r="B3" s="148"/>
      <c r="C3" s="52" t="s">
        <v>93</v>
      </c>
      <c r="D3" s="52" t="s">
        <v>93</v>
      </c>
      <c r="E3" s="52" t="s">
        <v>93</v>
      </c>
      <c r="F3" s="53" t="s">
        <v>94</v>
      </c>
      <c r="G3" s="53" t="s">
        <v>94</v>
      </c>
      <c r="H3" s="53" t="s">
        <v>94</v>
      </c>
      <c r="I3" s="53" t="s">
        <v>94</v>
      </c>
      <c r="J3" s="53" t="s">
        <v>94</v>
      </c>
      <c r="K3" s="53" t="s">
        <v>97</v>
      </c>
      <c r="L3" s="91" t="s">
        <v>96</v>
      </c>
      <c r="M3" s="53" t="s">
        <v>97</v>
      </c>
      <c r="N3" s="54"/>
    </row>
    <row r="4" spans="1:14" ht="34.5" customHeight="1">
      <c r="A4" s="15" t="s">
        <v>107</v>
      </c>
      <c r="B4" s="45" t="s">
        <v>106</v>
      </c>
      <c r="C4" s="45">
        <f>SUM(C5:C8)</f>
        <v>8.505</v>
      </c>
      <c r="D4" s="45">
        <f aca="true" t="shared" si="0" ref="D4:M4">SUM(D5:D8)</f>
        <v>12.5011</v>
      </c>
      <c r="E4" s="45">
        <f t="shared" si="0"/>
        <v>4.297</v>
      </c>
      <c r="F4" s="46">
        <f t="shared" si="0"/>
        <v>0</v>
      </c>
      <c r="G4" s="46">
        <f t="shared" si="0"/>
        <v>0</v>
      </c>
      <c r="H4" s="46">
        <f t="shared" si="0"/>
        <v>5323</v>
      </c>
      <c r="I4" s="46">
        <f t="shared" si="0"/>
        <v>27846.899999999994</v>
      </c>
      <c r="J4" s="46">
        <f t="shared" si="0"/>
        <v>0</v>
      </c>
      <c r="K4" s="46">
        <f t="shared" si="0"/>
        <v>7900</v>
      </c>
      <c r="L4" s="45">
        <f t="shared" si="0"/>
        <v>0</v>
      </c>
      <c r="M4" s="46">
        <f t="shared" si="0"/>
        <v>56400</v>
      </c>
      <c r="N4" s="64"/>
    </row>
    <row r="5" spans="1:14" ht="34.5" customHeight="1">
      <c r="A5" s="15" t="s">
        <v>109</v>
      </c>
      <c r="B5" s="46" t="s">
        <v>108</v>
      </c>
      <c r="C5" s="46"/>
      <c r="D5" s="46"/>
      <c r="E5" s="16">
        <f>('[1]建筑工程概算表'!$F$6+'[1]建筑工程概算表'!$F$7+'[1]建筑工程概算表'!$F$8+'[1]建筑工程概算表'!$F$9)/10000</f>
        <v>4.297</v>
      </c>
      <c r="F5" s="46"/>
      <c r="G5" s="46"/>
      <c r="H5" s="60"/>
      <c r="I5" s="46"/>
      <c r="J5" s="46"/>
      <c r="K5" s="46"/>
      <c r="L5" s="48"/>
      <c r="M5" s="60"/>
      <c r="N5" s="61"/>
    </row>
    <row r="6" spans="1:14" ht="34.5" customHeight="1">
      <c r="A6" s="15" t="s">
        <v>111</v>
      </c>
      <c r="B6" s="16" t="s">
        <v>110</v>
      </c>
      <c r="C6" s="16">
        <f>'[1]建筑工程概算表'!$F$11/10000</f>
        <v>6.75</v>
      </c>
      <c r="D6" s="16">
        <f>'[1]建筑工程概算表'!$F$12/10000</f>
        <v>11.684</v>
      </c>
      <c r="E6" s="16"/>
      <c r="F6" s="60"/>
      <c r="G6" s="60"/>
      <c r="H6" s="60"/>
      <c r="I6" s="60"/>
      <c r="J6" s="60"/>
      <c r="K6" s="60"/>
      <c r="L6" s="48"/>
      <c r="M6" s="60"/>
      <c r="N6" s="61"/>
    </row>
    <row r="7" spans="1:14" ht="34.5" customHeight="1">
      <c r="A7" s="15" t="s">
        <v>113</v>
      </c>
      <c r="B7" s="16" t="s">
        <v>112</v>
      </c>
      <c r="C7" s="16">
        <f>('[1]建筑工程概算表'!$F$15+'[1]建筑工程概算表'!$F$24)/10000</f>
        <v>1.375</v>
      </c>
      <c r="D7" s="16">
        <f>('[1]建筑工程概算表'!$F$16+'[1]建筑工程概算表'!$F$25+'[1]建筑工程概算表'!$F$34)/10000</f>
        <v>0.2571</v>
      </c>
      <c r="E7" s="16"/>
      <c r="F7" s="60"/>
      <c r="G7" s="60"/>
      <c r="H7" s="60"/>
      <c r="I7" s="60">
        <f>'[1]建筑工程概算表'!$F$17+'[1]建筑工程概算表'!$F$26+'[1]建筑工程概算表'!$F$35</f>
        <v>27846.899999999994</v>
      </c>
      <c r="J7" s="60"/>
      <c r="K7" s="60">
        <f>'[1]建筑工程概算表'!$F$22+'[1]建筑工程概算表'!$F$31+'[1]建筑工程概算表'!$F$40</f>
        <v>7900</v>
      </c>
      <c r="L7" s="48"/>
      <c r="M7" s="60">
        <f>'[1]建筑工程概算表'!$F$30</f>
        <v>56400</v>
      </c>
      <c r="N7" s="61"/>
    </row>
    <row r="8" spans="1:14" ht="34.5" customHeight="1">
      <c r="A8" s="15" t="s">
        <v>115</v>
      </c>
      <c r="B8" s="16" t="s">
        <v>114</v>
      </c>
      <c r="C8" s="16">
        <f>'[1]建筑工程概算表'!$F$42/10000</f>
        <v>0.38</v>
      </c>
      <c r="D8" s="16">
        <f>'[1]建筑工程概算表'!$F$43/10000</f>
        <v>0.56</v>
      </c>
      <c r="E8" s="16"/>
      <c r="F8" s="60"/>
      <c r="G8" s="60"/>
      <c r="H8" s="60">
        <f>'[1]建筑工程概算表'!$F$44+'[1]建筑工程概算表'!$F$45</f>
        <v>5323</v>
      </c>
      <c r="I8" s="60"/>
      <c r="J8" s="60"/>
      <c r="K8" s="60"/>
      <c r="L8" s="48"/>
      <c r="M8" s="60"/>
      <c r="N8" s="61"/>
    </row>
    <row r="9" spans="1:14" ht="34.5" customHeight="1">
      <c r="A9" s="15" t="s">
        <v>117</v>
      </c>
      <c r="B9" s="16" t="s">
        <v>116</v>
      </c>
      <c r="C9" s="16">
        <f>SUM(C10:C12)</f>
        <v>0.9472</v>
      </c>
      <c r="D9" s="16">
        <f aca="true" t="shared" si="1" ref="D9:M9">SUM(D10:D12)</f>
        <v>0.4663</v>
      </c>
      <c r="E9" s="16">
        <f t="shared" si="1"/>
        <v>0</v>
      </c>
      <c r="F9" s="60">
        <f t="shared" si="1"/>
        <v>1075.5</v>
      </c>
      <c r="G9" s="60">
        <f t="shared" si="1"/>
        <v>669</v>
      </c>
      <c r="H9" s="60">
        <f t="shared" si="1"/>
        <v>2835.1</v>
      </c>
      <c r="I9" s="60">
        <f t="shared" si="1"/>
        <v>0</v>
      </c>
      <c r="J9" s="60">
        <f t="shared" si="1"/>
        <v>1122.6000000000001</v>
      </c>
      <c r="K9" s="60">
        <f t="shared" si="1"/>
        <v>4343.1</v>
      </c>
      <c r="L9" s="48">
        <f t="shared" si="1"/>
        <v>80.0525</v>
      </c>
      <c r="M9" s="60">
        <f t="shared" si="1"/>
        <v>0</v>
      </c>
      <c r="N9" s="61"/>
    </row>
    <row r="10" spans="1:14" ht="34.5" customHeight="1">
      <c r="A10" s="15" t="s">
        <v>109</v>
      </c>
      <c r="B10" s="16" t="s">
        <v>118</v>
      </c>
      <c r="C10" s="16">
        <f>'[1]建筑工程概算表'!$F$48/10000</f>
        <v>0.5682</v>
      </c>
      <c r="D10" s="16">
        <f>'[1]建筑工程概算表'!$F$49/10000</f>
        <v>0.1876</v>
      </c>
      <c r="E10" s="16"/>
      <c r="F10" s="60">
        <f>'[1]建筑工程概算表'!$F$50</f>
        <v>583</v>
      </c>
      <c r="G10" s="60">
        <f>'[1]建筑工程概算表'!$F$51</f>
        <v>584</v>
      </c>
      <c r="H10" s="60">
        <f>'[1]建筑工程概算表'!$F$57+'[1]建筑工程概算表'!$F$58+'[1]建筑工程概算表'!$F$59</f>
        <v>1231.1</v>
      </c>
      <c r="I10" s="60"/>
      <c r="J10" s="60">
        <f>'[1]建筑工程概算表'!$F$61+'[1]建筑工程概算表'!$F$62</f>
        <v>850.1000000000001</v>
      </c>
      <c r="K10" s="60">
        <f>'[1]建筑工程概算表'!$F$67</f>
        <v>2550.3</v>
      </c>
      <c r="L10" s="48">
        <f>'[1]建筑工程概算表'!$F$64</f>
        <v>72.67</v>
      </c>
      <c r="M10" s="60"/>
      <c r="N10" s="61"/>
    </row>
    <row r="11" spans="1:14" ht="34.5" customHeight="1">
      <c r="A11" s="15" t="s">
        <v>120</v>
      </c>
      <c r="B11" s="16" t="s">
        <v>119</v>
      </c>
      <c r="C11" s="16">
        <f>'[1]建筑工程概算表'!$F$70/10000</f>
        <v>0.0515</v>
      </c>
      <c r="D11" s="16">
        <f>'[1]建筑工程概算表'!$F$71/10000</f>
        <v>0.0327</v>
      </c>
      <c r="E11" s="16"/>
      <c r="F11" s="60">
        <f>'[1]建筑工程概算表'!$F$72</f>
        <v>492.5</v>
      </c>
      <c r="G11" s="60">
        <f>'[1]建筑工程概算表'!$F$73</f>
        <v>85</v>
      </c>
      <c r="H11" s="60">
        <f>'[1]建筑工程概算表'!$F$77+'[1]建筑工程概算表'!$F$78+'[1]建筑工程概算表'!$F$79</f>
        <v>691.5</v>
      </c>
      <c r="I11" s="60"/>
      <c r="J11" s="60">
        <f>'[1]建筑工程概算表'!$F$81</f>
        <v>122</v>
      </c>
      <c r="K11" s="60">
        <f>'[1]建筑工程概算表'!$F$84</f>
        <v>388.79999999999995</v>
      </c>
      <c r="L11" s="48">
        <f>'[1]建筑工程概算表'!$F$83</f>
        <v>1.3</v>
      </c>
      <c r="M11" s="60"/>
      <c r="N11" s="61"/>
    </row>
    <row r="12" spans="1:14" ht="34.5" customHeight="1">
      <c r="A12" s="15" t="s">
        <v>113</v>
      </c>
      <c r="B12" s="16" t="s">
        <v>121</v>
      </c>
      <c r="C12" s="16">
        <f>'[1]建筑工程概算表'!$F$86/10000</f>
        <v>0.3275</v>
      </c>
      <c r="D12" s="16">
        <f>'[1]建筑工程概算表'!$F$87/10000</f>
        <v>0.246</v>
      </c>
      <c r="E12" s="16"/>
      <c r="F12" s="60"/>
      <c r="G12" s="60"/>
      <c r="H12" s="60">
        <f>'[1]建筑工程概算表'!$F$88+'[1]建筑工程概算表'!$F$89+'[1]建筑工程概算表'!$F$90</f>
        <v>912.5</v>
      </c>
      <c r="I12" s="60"/>
      <c r="J12" s="60">
        <f>'[1]建筑工程概算表'!$F$92</f>
        <v>150.5</v>
      </c>
      <c r="K12" s="60">
        <f>'[1]建筑工程概算表'!$F$96</f>
        <v>1404</v>
      </c>
      <c r="L12" s="48">
        <f>'[1]建筑工程概算表'!$F$94</f>
        <v>6.0825</v>
      </c>
      <c r="M12" s="60"/>
      <c r="N12" s="61"/>
    </row>
    <row r="13" spans="1:14" ht="34.5" customHeight="1" thickBot="1">
      <c r="A13" s="149" t="s">
        <v>122</v>
      </c>
      <c r="B13" s="150"/>
      <c r="C13" s="58">
        <f>C4+C9</f>
        <v>9.452200000000001</v>
      </c>
      <c r="D13" s="58">
        <f aca="true" t="shared" si="2" ref="D13:M13">D4+D9</f>
        <v>12.9674</v>
      </c>
      <c r="E13" s="58">
        <f t="shared" si="2"/>
        <v>4.297</v>
      </c>
      <c r="F13" s="62">
        <f t="shared" si="2"/>
        <v>1075.5</v>
      </c>
      <c r="G13" s="62">
        <f t="shared" si="2"/>
        <v>669</v>
      </c>
      <c r="H13" s="62">
        <f t="shared" si="2"/>
        <v>8158.1</v>
      </c>
      <c r="I13" s="62">
        <f t="shared" si="2"/>
        <v>27846.899999999994</v>
      </c>
      <c r="J13" s="62">
        <f t="shared" si="2"/>
        <v>1122.6000000000001</v>
      </c>
      <c r="K13" s="62">
        <f t="shared" si="2"/>
        <v>12243.1</v>
      </c>
      <c r="L13" s="58">
        <f t="shared" si="2"/>
        <v>80.0525</v>
      </c>
      <c r="M13" s="62">
        <f t="shared" si="2"/>
        <v>56400</v>
      </c>
      <c r="N13" s="65"/>
    </row>
    <row r="14" ht="34.5" customHeight="1"/>
  </sheetData>
  <mergeCells count="3">
    <mergeCell ref="B1:N1"/>
    <mergeCell ref="A2:B3"/>
    <mergeCell ref="A13:B13"/>
  </mergeCells>
  <printOptions/>
  <pageMargins left="0.7480314960629921" right="0.7480314960629921" top="0.787401574803149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J9" sqref="J9"/>
    </sheetView>
  </sheetViews>
  <sheetFormatPr defaultColWidth="9.00390625" defaultRowHeight="30" customHeight="1"/>
  <cols>
    <col min="1" max="1" width="13.625" style="2" customWidth="1"/>
    <col min="2" max="5" width="16.00390625" style="2" customWidth="1"/>
    <col min="6" max="6" width="14.75390625" style="2" customWidth="1"/>
    <col min="7" max="16384" width="13.625" style="2" customWidth="1"/>
  </cols>
  <sheetData>
    <row r="1" spans="1:6" ht="30" customHeight="1">
      <c r="A1" s="121" t="s">
        <v>66</v>
      </c>
      <c r="B1" s="122"/>
      <c r="C1" s="122"/>
      <c r="D1" s="122"/>
      <c r="E1" s="122"/>
      <c r="F1" s="122"/>
    </row>
    <row r="2" spans="1:6" ht="30" customHeight="1" thickBot="1">
      <c r="A2" s="151" t="s">
        <v>0</v>
      </c>
      <c r="B2" s="151"/>
      <c r="C2" s="151"/>
      <c r="D2" s="151"/>
      <c r="E2" s="151"/>
      <c r="F2" s="151"/>
    </row>
    <row r="3" spans="1:6" ht="30" customHeight="1">
      <c r="A3" s="3" t="s">
        <v>1</v>
      </c>
      <c r="B3" s="4" t="s">
        <v>7</v>
      </c>
      <c r="C3" s="4" t="s">
        <v>8</v>
      </c>
      <c r="D3" s="4" t="s">
        <v>9</v>
      </c>
      <c r="E3" s="4" t="s">
        <v>215</v>
      </c>
      <c r="F3" s="5" t="s">
        <v>10</v>
      </c>
    </row>
    <row r="4" spans="1:6" ht="30" customHeight="1">
      <c r="A4" s="6" t="s">
        <v>2</v>
      </c>
      <c r="B4" s="7">
        <v>1</v>
      </c>
      <c r="C4" s="7">
        <v>9.77</v>
      </c>
      <c r="D4" s="7">
        <v>9.77</v>
      </c>
      <c r="E4" s="7">
        <v>9770</v>
      </c>
      <c r="F4" s="8"/>
    </row>
    <row r="5" spans="1:6" ht="30" customHeight="1">
      <c r="A5" s="6" t="s">
        <v>3</v>
      </c>
      <c r="B5" s="7">
        <v>1</v>
      </c>
      <c r="C5" s="7">
        <v>9</v>
      </c>
      <c r="D5" s="7">
        <v>9</v>
      </c>
      <c r="E5" s="7">
        <v>5400</v>
      </c>
      <c r="F5" s="8"/>
    </row>
    <row r="6" spans="1:6" ht="30" customHeight="1">
      <c r="A6" s="6" t="s">
        <v>4</v>
      </c>
      <c r="B6" s="7">
        <v>1</v>
      </c>
      <c r="C6" s="7">
        <v>9</v>
      </c>
      <c r="D6" s="7">
        <v>9</v>
      </c>
      <c r="E6" s="7">
        <v>5400</v>
      </c>
      <c r="F6" s="8"/>
    </row>
    <row r="7" spans="1:6" ht="30" customHeight="1">
      <c r="A7" s="6" t="s">
        <v>5</v>
      </c>
      <c r="B7" s="7">
        <v>12</v>
      </c>
      <c r="C7" s="7">
        <v>56.25</v>
      </c>
      <c r="D7" s="7">
        <v>56.25</v>
      </c>
      <c r="E7" s="7">
        <v>22400</v>
      </c>
      <c r="F7" s="8"/>
    </row>
    <row r="8" spans="1:6" ht="30" customHeight="1">
      <c r="A8" s="6"/>
      <c r="B8" s="7"/>
      <c r="C8" s="7"/>
      <c r="D8" s="7"/>
      <c r="E8" s="7"/>
      <c r="F8" s="8"/>
    </row>
    <row r="9" spans="1:6" ht="30" customHeight="1">
      <c r="A9" s="6"/>
      <c r="B9" s="7"/>
      <c r="C9" s="7"/>
      <c r="D9" s="7"/>
      <c r="E9" s="7"/>
      <c r="F9" s="8"/>
    </row>
    <row r="10" spans="1:6" ht="30" customHeight="1">
      <c r="A10" s="6"/>
      <c r="B10" s="7"/>
      <c r="C10" s="7"/>
      <c r="D10" s="7"/>
      <c r="E10" s="7"/>
      <c r="F10" s="8"/>
    </row>
    <row r="11" spans="1:6" ht="30" customHeight="1">
      <c r="A11" s="6"/>
      <c r="B11" s="7"/>
      <c r="C11" s="7"/>
      <c r="D11" s="7"/>
      <c r="E11" s="7"/>
      <c r="F11" s="8"/>
    </row>
    <row r="12" spans="1:6" ht="30" customHeight="1">
      <c r="A12" s="6"/>
      <c r="B12" s="7"/>
      <c r="C12" s="7"/>
      <c r="D12" s="7"/>
      <c r="E12" s="7"/>
      <c r="F12" s="8"/>
    </row>
    <row r="13" spans="1:6" ht="30" customHeight="1">
      <c r="A13" s="6"/>
      <c r="B13" s="7"/>
      <c r="C13" s="7"/>
      <c r="D13" s="7"/>
      <c r="E13" s="7"/>
      <c r="F13" s="8"/>
    </row>
    <row r="14" spans="1:6" ht="30" customHeight="1" thickBot="1">
      <c r="A14" s="9" t="s">
        <v>6</v>
      </c>
      <c r="B14" s="10">
        <f>SUM(B4:B13)</f>
        <v>15</v>
      </c>
      <c r="C14" s="10">
        <f>SUM(C4:C13)</f>
        <v>84.02</v>
      </c>
      <c r="D14" s="10">
        <f>SUM(D4:D13)</f>
        <v>84.02</v>
      </c>
      <c r="E14" s="10">
        <f>SUM(E4:E13)</f>
        <v>42970</v>
      </c>
      <c r="F14" s="11"/>
    </row>
  </sheetData>
  <mergeCells count="2">
    <mergeCell ref="A2:F2"/>
    <mergeCell ref="A1:F1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C1">
      <pane xSplit="1" ySplit="3" topLeftCell="D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34.5" customHeight="1"/>
  <cols>
    <col min="1" max="16384" width="14.625" style="25" customWidth="1"/>
  </cols>
  <sheetData>
    <row r="1" spans="1:8" s="27" customFormat="1" ht="34.5" customHeight="1">
      <c r="A1" s="123" t="s">
        <v>73</v>
      </c>
      <c r="B1" s="123"/>
      <c r="C1" s="123"/>
      <c r="D1" s="123"/>
      <c r="E1" s="123"/>
      <c r="F1" s="123"/>
      <c r="G1" s="123"/>
      <c r="H1" s="123"/>
    </row>
    <row r="2" s="27" customFormat="1" ht="34.5" customHeight="1" thickBot="1">
      <c r="H2" s="27" t="s">
        <v>71</v>
      </c>
    </row>
    <row r="3" spans="1:8" ht="56.25" customHeight="1">
      <c r="A3" s="23" t="s">
        <v>16</v>
      </c>
      <c r="B3" s="14" t="s">
        <v>19</v>
      </c>
      <c r="C3" s="14" t="s">
        <v>63</v>
      </c>
      <c r="D3" s="14" t="s">
        <v>62</v>
      </c>
      <c r="E3" s="14" t="s">
        <v>61</v>
      </c>
      <c r="F3" s="19" t="s">
        <v>60</v>
      </c>
      <c r="G3" s="14" t="s">
        <v>64</v>
      </c>
      <c r="H3" s="24" t="s">
        <v>65</v>
      </c>
    </row>
    <row r="4" spans="1:8" ht="34.5" customHeight="1">
      <c r="A4" s="15" t="s">
        <v>17</v>
      </c>
      <c r="B4" s="22" t="s">
        <v>20</v>
      </c>
      <c r="C4" s="16">
        <v>300</v>
      </c>
      <c r="D4" s="16">
        <v>400</v>
      </c>
      <c r="E4" s="16">
        <v>210</v>
      </c>
      <c r="F4" s="16">
        <v>7926</v>
      </c>
      <c r="G4" s="16"/>
      <c r="H4" s="17">
        <v>143</v>
      </c>
    </row>
    <row r="5" spans="1:8" ht="34.5" customHeight="1">
      <c r="A5" s="15"/>
      <c r="B5" s="22" t="s">
        <v>21</v>
      </c>
      <c r="C5" s="16">
        <v>300</v>
      </c>
      <c r="D5" s="16">
        <v>400</v>
      </c>
      <c r="E5" s="16">
        <v>210</v>
      </c>
      <c r="F5" s="16">
        <v>7926</v>
      </c>
      <c r="G5" s="16"/>
      <c r="H5" s="17">
        <v>143</v>
      </c>
    </row>
    <row r="6" spans="1:8" ht="34.5" customHeight="1">
      <c r="A6" s="15"/>
      <c r="B6" s="16"/>
      <c r="C6" s="16"/>
      <c r="D6" s="16"/>
      <c r="E6" s="16"/>
      <c r="F6" s="16"/>
      <c r="G6" s="16"/>
      <c r="H6" s="17"/>
    </row>
    <row r="7" spans="1:8" ht="34.5" customHeight="1">
      <c r="A7" s="15"/>
      <c r="B7" s="16"/>
      <c r="C7" s="16"/>
      <c r="D7" s="16"/>
      <c r="E7" s="16"/>
      <c r="F7" s="16"/>
      <c r="G7" s="16"/>
      <c r="H7" s="17"/>
    </row>
    <row r="8" spans="1:8" ht="34.5" customHeight="1">
      <c r="A8" s="15"/>
      <c r="B8" s="16"/>
      <c r="C8" s="16"/>
      <c r="D8" s="16"/>
      <c r="E8" s="16"/>
      <c r="F8" s="16"/>
      <c r="G8" s="16"/>
      <c r="H8" s="17"/>
    </row>
    <row r="9" spans="1:8" ht="34.5" customHeight="1">
      <c r="A9" s="15"/>
      <c r="B9" s="16"/>
      <c r="C9" s="16"/>
      <c r="D9" s="16"/>
      <c r="E9" s="16"/>
      <c r="F9" s="16"/>
      <c r="G9" s="16"/>
      <c r="H9" s="17"/>
    </row>
    <row r="10" spans="1:8" ht="34.5" customHeight="1">
      <c r="A10" s="15"/>
      <c r="B10" s="16"/>
      <c r="C10" s="16"/>
      <c r="D10" s="16"/>
      <c r="E10" s="16"/>
      <c r="F10" s="16"/>
      <c r="G10" s="16"/>
      <c r="H10" s="17"/>
    </row>
    <row r="11" spans="1:8" ht="34.5" customHeight="1">
      <c r="A11" s="15"/>
      <c r="B11" s="16"/>
      <c r="C11" s="16"/>
      <c r="D11" s="16"/>
      <c r="E11" s="16"/>
      <c r="F11" s="16"/>
      <c r="G11" s="16"/>
      <c r="H11" s="17"/>
    </row>
    <row r="12" spans="1:8" ht="34.5" customHeight="1" thickBot="1">
      <c r="A12" s="18" t="s">
        <v>18</v>
      </c>
      <c r="B12" s="20"/>
      <c r="C12" s="20">
        <f>SUM(C4:C11)</f>
        <v>600</v>
      </c>
      <c r="D12" s="20">
        <f>SUM(D4:D11)</f>
        <v>800</v>
      </c>
      <c r="E12" s="20">
        <f>SUM(E4:E11)</f>
        <v>420</v>
      </c>
      <c r="F12" s="20">
        <f>SUM(F4:F11)</f>
        <v>15852</v>
      </c>
      <c r="G12" s="20"/>
      <c r="H12" s="21"/>
    </row>
  </sheetData>
  <mergeCells count="1">
    <mergeCell ref="A1:H1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pane xSplit="2" ySplit="4" topLeftCell="C5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24.75" customHeight="1"/>
  <cols>
    <col min="1" max="1" width="10.75390625" style="2" customWidth="1"/>
    <col min="2" max="2" width="6.375" style="2" customWidth="1"/>
    <col min="3" max="3" width="10.75390625" style="2" customWidth="1"/>
    <col min="4" max="4" width="8.25390625" style="2" customWidth="1"/>
    <col min="5" max="5" width="10.125" style="2" customWidth="1"/>
    <col min="6" max="6" width="10.00390625" style="2" customWidth="1"/>
    <col min="7" max="8" width="7.625" style="2" customWidth="1"/>
    <col min="9" max="9" width="10.125" style="2" customWidth="1"/>
    <col min="10" max="10" width="9.375" style="2" customWidth="1"/>
    <col min="11" max="11" width="10.125" style="2" customWidth="1"/>
    <col min="12" max="16384" width="8.625" style="2" customWidth="1"/>
  </cols>
  <sheetData>
    <row r="1" spans="1:11" ht="24.75" customHeight="1">
      <c r="A1" s="121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24.75" customHeight="1" thickBot="1">
      <c r="K2" s="2" t="s">
        <v>70</v>
      </c>
    </row>
    <row r="3" spans="1:12" ht="24.75" customHeight="1">
      <c r="A3" s="125" t="s">
        <v>11</v>
      </c>
      <c r="B3" s="124" t="s">
        <v>7</v>
      </c>
      <c r="C3" s="124" t="s">
        <v>13</v>
      </c>
      <c r="D3" s="124" t="s">
        <v>14</v>
      </c>
      <c r="E3" s="124" t="s">
        <v>15</v>
      </c>
      <c r="F3" s="124"/>
      <c r="G3" s="124"/>
      <c r="H3" s="124"/>
      <c r="I3" s="124"/>
      <c r="J3" s="124"/>
      <c r="K3" s="124"/>
      <c r="L3" s="5"/>
    </row>
    <row r="4" spans="1:12" ht="39" customHeight="1">
      <c r="A4" s="126"/>
      <c r="B4" s="127"/>
      <c r="C4" s="127"/>
      <c r="D4" s="127"/>
      <c r="E4" s="16" t="s">
        <v>56</v>
      </c>
      <c r="F4" s="16" t="s">
        <v>75</v>
      </c>
      <c r="G4" s="22" t="s">
        <v>58</v>
      </c>
      <c r="H4" s="16" t="s">
        <v>84</v>
      </c>
      <c r="I4" s="16" t="s">
        <v>59</v>
      </c>
      <c r="J4" s="16" t="s">
        <v>83</v>
      </c>
      <c r="K4" s="22" t="s">
        <v>74</v>
      </c>
      <c r="L4" s="17" t="s">
        <v>76</v>
      </c>
    </row>
    <row r="5" spans="1:12" ht="24.75" customHeight="1">
      <c r="A5" s="6" t="s">
        <v>2</v>
      </c>
      <c r="B5" s="7">
        <v>1</v>
      </c>
      <c r="C5" s="7">
        <v>9.77</v>
      </c>
      <c r="D5" s="7">
        <v>9.77</v>
      </c>
      <c r="E5" s="7">
        <f>7630+100</f>
        <v>7730</v>
      </c>
      <c r="F5" s="7">
        <f>1239</f>
        <v>1239</v>
      </c>
      <c r="G5" s="66">
        <f>1.5*D5*1000*0.78</f>
        <v>11430.9</v>
      </c>
      <c r="H5" s="12">
        <v>2950</v>
      </c>
      <c r="I5" s="12">
        <f>5401*1</f>
        <v>5401</v>
      </c>
      <c r="J5" s="12">
        <v>2404</v>
      </c>
      <c r="K5" s="7"/>
      <c r="L5" s="8">
        <v>58800</v>
      </c>
    </row>
    <row r="6" spans="1:12" ht="24.75" customHeight="1">
      <c r="A6" s="6" t="s">
        <v>3</v>
      </c>
      <c r="B6" s="7">
        <v>1</v>
      </c>
      <c r="C6" s="7">
        <v>9</v>
      </c>
      <c r="D6" s="7">
        <v>9</v>
      </c>
      <c r="E6" s="7">
        <f>5920+100</f>
        <v>6020</v>
      </c>
      <c r="F6" s="7">
        <f>740*0.9</f>
        <v>666</v>
      </c>
      <c r="G6" s="7">
        <f>1.2*D6*1000*0.77</f>
        <v>8315.999999999998</v>
      </c>
      <c r="H6" s="7">
        <v>2520</v>
      </c>
      <c r="I6" s="7">
        <f>6104*1</f>
        <v>6104</v>
      </c>
      <c r="J6" s="7">
        <v>3552</v>
      </c>
      <c r="K6" s="7"/>
      <c r="L6" s="8">
        <v>56400</v>
      </c>
    </row>
    <row r="7" spans="1:12" ht="24.75" customHeight="1">
      <c r="A7" s="6" t="s">
        <v>4</v>
      </c>
      <c r="B7" s="7">
        <v>1</v>
      </c>
      <c r="C7" s="7">
        <v>9</v>
      </c>
      <c r="D7" s="7">
        <v>9</v>
      </c>
      <c r="E7" s="7">
        <f>5920+80</f>
        <v>6000</v>
      </c>
      <c r="F7" s="7">
        <f>740*0.9</f>
        <v>666</v>
      </c>
      <c r="G7" s="7">
        <f>1.2*D7*1000*0.75</f>
        <v>8099.999999999998</v>
      </c>
      <c r="H7" s="7">
        <v>2430</v>
      </c>
      <c r="I7" s="7">
        <f>6104*0.95</f>
        <v>5798.8</v>
      </c>
      <c r="J7" s="7">
        <f>3552*0.9</f>
        <v>3196.8</v>
      </c>
      <c r="K7" s="7"/>
      <c r="L7" s="8">
        <v>53860</v>
      </c>
    </row>
    <row r="8" spans="1:12" ht="24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4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24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24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ht="24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24.75" customHeight="1" thickBot="1">
      <c r="A15" s="9" t="s">
        <v>12</v>
      </c>
      <c r="B15" s="10">
        <f aca="true" t="shared" si="0" ref="B15:L15">SUM(B5:B14)</f>
        <v>3</v>
      </c>
      <c r="C15" s="10">
        <f t="shared" si="0"/>
        <v>27.77</v>
      </c>
      <c r="D15" s="10">
        <f t="shared" si="0"/>
        <v>27.77</v>
      </c>
      <c r="E15" s="10">
        <f t="shared" si="0"/>
        <v>19750</v>
      </c>
      <c r="F15" s="10">
        <f t="shared" si="0"/>
        <v>2571</v>
      </c>
      <c r="G15" s="10">
        <f t="shared" si="0"/>
        <v>27846.899999999994</v>
      </c>
      <c r="H15" s="10">
        <f t="shared" si="0"/>
        <v>7900</v>
      </c>
      <c r="I15" s="10">
        <f t="shared" si="0"/>
        <v>17303.8</v>
      </c>
      <c r="J15" s="10">
        <f t="shared" si="0"/>
        <v>9152.8</v>
      </c>
      <c r="K15" s="10">
        <f t="shared" si="0"/>
        <v>0</v>
      </c>
      <c r="L15" s="11">
        <f t="shared" si="0"/>
        <v>169060</v>
      </c>
    </row>
  </sheetData>
  <mergeCells count="6">
    <mergeCell ref="A1:K1"/>
    <mergeCell ref="E3:K3"/>
    <mergeCell ref="A3:A4"/>
    <mergeCell ref="B3:B4"/>
    <mergeCell ref="C3:C4"/>
    <mergeCell ref="D3:D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xSplit="1" ySplit="4" topLeftCell="J5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24" customHeight="1"/>
  <cols>
    <col min="1" max="1" width="5.25390625" style="0" customWidth="1"/>
    <col min="2" max="2" width="3.125" style="0" customWidth="1"/>
    <col min="3" max="3" width="5.75390625" style="0" customWidth="1"/>
    <col min="4" max="4" width="5.375" style="0" customWidth="1"/>
    <col min="5" max="5" width="5.25390625" style="0" customWidth="1"/>
    <col min="6" max="6" width="5.75390625" style="0" customWidth="1"/>
    <col min="7" max="10" width="5.375" style="0" customWidth="1"/>
    <col min="11" max="11" width="5.50390625" style="0" customWidth="1"/>
    <col min="12" max="14" width="4.75390625" style="0" customWidth="1"/>
    <col min="15" max="17" width="5.50390625" style="0" customWidth="1"/>
    <col min="18" max="18" width="5.25390625" style="0" customWidth="1"/>
    <col min="19" max="19" width="5.00390625" style="0" customWidth="1"/>
    <col min="20" max="20" width="6.75390625" style="0" customWidth="1"/>
    <col min="21" max="22" width="4.25390625" style="0" customWidth="1"/>
    <col min="23" max="23" width="5.50390625" style="0" customWidth="1"/>
    <col min="24" max="16384" width="5.00390625" style="0" customWidth="1"/>
  </cols>
  <sheetData>
    <row r="1" spans="1:23" ht="24" customHeight="1">
      <c r="A1" s="26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4" customHeight="1" thickBot="1">
      <c r="W2" t="s">
        <v>27</v>
      </c>
    </row>
    <row r="3" spans="1:23" ht="31.5" customHeight="1">
      <c r="A3" s="132" t="s">
        <v>158</v>
      </c>
      <c r="B3" s="128" t="s">
        <v>159</v>
      </c>
      <c r="C3" s="128" t="s">
        <v>160</v>
      </c>
      <c r="D3" s="128" t="s">
        <v>161</v>
      </c>
      <c r="E3" s="128" t="s">
        <v>162</v>
      </c>
      <c r="F3" s="128" t="s">
        <v>163</v>
      </c>
      <c r="G3" s="128" t="s">
        <v>164</v>
      </c>
      <c r="H3" s="128" t="s">
        <v>165</v>
      </c>
      <c r="I3" s="115" t="s">
        <v>166</v>
      </c>
      <c r="J3" s="116" t="s">
        <v>167</v>
      </c>
      <c r="K3" s="116" t="s">
        <v>168</v>
      </c>
      <c r="L3" s="118" t="s">
        <v>169</v>
      </c>
      <c r="M3" s="119"/>
      <c r="N3" s="120"/>
      <c r="O3" s="128" t="s">
        <v>170</v>
      </c>
      <c r="P3" s="128" t="s">
        <v>171</v>
      </c>
      <c r="Q3" s="128" t="s">
        <v>172</v>
      </c>
      <c r="R3" s="128" t="s">
        <v>173</v>
      </c>
      <c r="S3" s="128" t="s">
        <v>174</v>
      </c>
      <c r="T3" s="128" t="s">
        <v>175</v>
      </c>
      <c r="U3" s="128" t="s">
        <v>176</v>
      </c>
      <c r="V3" s="128"/>
      <c r="W3" s="130" t="s">
        <v>177</v>
      </c>
    </row>
    <row r="4" spans="1:23" ht="37.5" customHeight="1">
      <c r="A4" s="114"/>
      <c r="B4" s="129"/>
      <c r="C4" s="129"/>
      <c r="D4" s="129"/>
      <c r="E4" s="129"/>
      <c r="F4" s="129"/>
      <c r="G4" s="129"/>
      <c r="H4" s="129"/>
      <c r="I4" s="129"/>
      <c r="J4" s="117"/>
      <c r="K4" s="117"/>
      <c r="L4" s="70" t="s">
        <v>178</v>
      </c>
      <c r="M4" s="70" t="s">
        <v>179</v>
      </c>
      <c r="N4" s="70" t="s">
        <v>180</v>
      </c>
      <c r="O4" s="129"/>
      <c r="P4" s="129"/>
      <c r="Q4" s="129"/>
      <c r="R4" s="129"/>
      <c r="S4" s="129"/>
      <c r="T4" s="129"/>
      <c r="U4" s="104" t="s">
        <v>181</v>
      </c>
      <c r="V4" s="104" t="s">
        <v>182</v>
      </c>
      <c r="W4" s="131"/>
    </row>
    <row r="5" spans="1:23" ht="24" customHeight="1">
      <c r="A5" s="57" t="s">
        <v>183</v>
      </c>
      <c r="B5" s="70">
        <v>12</v>
      </c>
      <c r="C5" s="70">
        <v>1179</v>
      </c>
      <c r="D5" s="70">
        <v>654</v>
      </c>
      <c r="E5" s="70">
        <v>100</v>
      </c>
      <c r="F5" s="70">
        <v>20</v>
      </c>
      <c r="G5" s="70">
        <v>120</v>
      </c>
      <c r="H5" s="70">
        <v>660</v>
      </c>
      <c r="I5" s="70"/>
      <c r="J5" s="70">
        <v>27</v>
      </c>
      <c r="K5" s="70">
        <f>54.4-J5</f>
        <v>27.4</v>
      </c>
      <c r="L5" s="70">
        <f>92.4</f>
        <v>92.4</v>
      </c>
      <c r="M5" s="70">
        <v>118.8</v>
      </c>
      <c r="N5" s="70">
        <v>52.8</v>
      </c>
      <c r="O5" s="70">
        <v>4.8</v>
      </c>
      <c r="P5" s="70">
        <v>5.4</v>
      </c>
      <c r="Q5" s="70">
        <v>45.6</v>
      </c>
      <c r="R5" s="70">
        <v>11.3</v>
      </c>
      <c r="S5" s="70">
        <v>0.67</v>
      </c>
      <c r="T5" s="70">
        <v>360</v>
      </c>
      <c r="U5" s="70">
        <v>32</v>
      </c>
      <c r="V5" s="70">
        <v>40</v>
      </c>
      <c r="W5" s="71">
        <v>31.2</v>
      </c>
    </row>
    <row r="6" spans="1:23" ht="24" customHeight="1">
      <c r="A6" s="57" t="s">
        <v>184</v>
      </c>
      <c r="B6" s="70">
        <v>7</v>
      </c>
      <c r="C6" s="70">
        <v>1260</v>
      </c>
      <c r="D6" s="70">
        <v>882</v>
      </c>
      <c r="E6" s="70">
        <v>180</v>
      </c>
      <c r="F6" s="70">
        <v>310</v>
      </c>
      <c r="G6" s="70">
        <v>50</v>
      </c>
      <c r="H6" s="70">
        <v>1155</v>
      </c>
      <c r="I6" s="70"/>
      <c r="J6" s="70"/>
      <c r="K6" s="70"/>
      <c r="L6" s="70">
        <f>235.2</f>
        <v>235.2</v>
      </c>
      <c r="M6" s="70">
        <v>302.4</v>
      </c>
      <c r="N6" s="70">
        <v>134.4</v>
      </c>
      <c r="O6" s="70">
        <v>18.2</v>
      </c>
      <c r="P6" s="70">
        <v>2.3</v>
      </c>
      <c r="Q6" s="70">
        <v>203</v>
      </c>
      <c r="R6" s="70">
        <v>5.6</v>
      </c>
      <c r="S6" s="70">
        <v>30.1</v>
      </c>
      <c r="T6" s="70">
        <v>500</v>
      </c>
      <c r="U6" s="70"/>
      <c r="V6" s="70"/>
      <c r="W6" s="71">
        <v>67.27</v>
      </c>
    </row>
    <row r="7" spans="1:23" ht="24" customHeight="1">
      <c r="A7" s="57" t="s">
        <v>185</v>
      </c>
      <c r="B7" s="70">
        <v>1</v>
      </c>
      <c r="C7" s="70">
        <v>300</v>
      </c>
      <c r="D7" s="70">
        <v>153</v>
      </c>
      <c r="E7" s="70">
        <v>151</v>
      </c>
      <c r="F7" s="70">
        <v>50</v>
      </c>
      <c r="G7" s="70">
        <v>5</v>
      </c>
      <c r="H7" s="70">
        <v>35</v>
      </c>
      <c r="I7" s="70">
        <v>5.5</v>
      </c>
      <c r="J7" s="70">
        <v>12</v>
      </c>
      <c r="K7" s="105">
        <v>23.5</v>
      </c>
      <c r="L7" s="70">
        <v>57.75</v>
      </c>
      <c r="M7" s="70">
        <v>74.25</v>
      </c>
      <c r="N7" s="70">
        <v>33</v>
      </c>
      <c r="O7" s="70">
        <v>5</v>
      </c>
      <c r="P7" s="70">
        <v>4.3</v>
      </c>
      <c r="Q7" s="70">
        <v>82</v>
      </c>
      <c r="R7" s="70">
        <v>4.1</v>
      </c>
      <c r="S7" s="70">
        <v>0.39</v>
      </c>
      <c r="T7" s="70">
        <v>30</v>
      </c>
      <c r="U7" s="70"/>
      <c r="V7" s="70"/>
      <c r="W7" s="71">
        <v>5.2</v>
      </c>
    </row>
    <row r="8" spans="1:23" ht="24" customHeight="1">
      <c r="A8" s="57" t="s">
        <v>186</v>
      </c>
      <c r="B8" s="70">
        <v>1</v>
      </c>
      <c r="C8" s="70">
        <v>270</v>
      </c>
      <c r="D8" s="70">
        <v>187</v>
      </c>
      <c r="E8" s="70">
        <v>52</v>
      </c>
      <c r="F8" s="70">
        <v>48</v>
      </c>
      <c r="G8" s="70">
        <v>7</v>
      </c>
      <c r="H8" s="70">
        <v>42</v>
      </c>
      <c r="I8" s="70">
        <v>10</v>
      </c>
      <c r="J8" s="70"/>
      <c r="K8" s="70"/>
      <c r="L8" s="70">
        <v>19.25</v>
      </c>
      <c r="M8" s="70">
        <v>24.75</v>
      </c>
      <c r="N8" s="70">
        <v>11</v>
      </c>
      <c r="O8" s="70">
        <v>28</v>
      </c>
      <c r="P8" s="70">
        <v>3.2</v>
      </c>
      <c r="Q8" s="70">
        <f>58-P8</f>
        <v>54.8</v>
      </c>
      <c r="R8" s="70">
        <v>1.5</v>
      </c>
      <c r="S8" s="70">
        <v>0.91</v>
      </c>
      <c r="T8" s="70">
        <v>20</v>
      </c>
      <c r="U8" s="70"/>
      <c r="V8" s="70"/>
      <c r="W8" s="71">
        <v>5.2</v>
      </c>
    </row>
    <row r="9" spans="1:23" ht="24" customHeight="1">
      <c r="A9" s="57" t="s">
        <v>187</v>
      </c>
      <c r="B9" s="70">
        <v>78</v>
      </c>
      <c r="C9" s="70">
        <v>1600</v>
      </c>
      <c r="D9" s="70">
        <v>1800</v>
      </c>
      <c r="E9" s="70">
        <v>100</v>
      </c>
      <c r="F9" s="70">
        <v>156</v>
      </c>
      <c r="G9" s="70">
        <v>165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3" ht="24" customHeight="1">
      <c r="A10" s="106" t="s">
        <v>188</v>
      </c>
      <c r="B10" s="107">
        <v>29</v>
      </c>
      <c r="C10" s="107">
        <v>1073</v>
      </c>
      <c r="D10" s="107">
        <v>1015</v>
      </c>
      <c r="E10" s="70"/>
      <c r="F10" s="70"/>
      <c r="G10" s="70"/>
      <c r="H10" s="70"/>
      <c r="I10" s="70"/>
      <c r="J10" s="70"/>
      <c r="K10" s="70"/>
      <c r="L10" s="70">
        <v>23.8</v>
      </c>
      <c r="M10" s="70">
        <v>32.1</v>
      </c>
      <c r="N10" s="70">
        <v>19.2</v>
      </c>
      <c r="O10" s="70"/>
      <c r="P10" s="70"/>
      <c r="Q10" s="70">
        <f>899/2</f>
        <v>449.5</v>
      </c>
      <c r="R10" s="70"/>
      <c r="S10" s="107">
        <v>40.6</v>
      </c>
      <c r="T10" s="70">
        <v>1120</v>
      </c>
      <c r="U10" s="70"/>
      <c r="V10" s="70"/>
      <c r="W10" s="71"/>
    </row>
    <row r="11" spans="1:23" ht="24" customHeight="1">
      <c r="A11" s="57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1:23" ht="24" customHeight="1">
      <c r="A12" s="5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ht="24" customHeight="1">
      <c r="A13" s="5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</row>
    <row r="14" spans="1:23" ht="24" customHeight="1">
      <c r="A14" s="5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</row>
    <row r="15" spans="1:23" ht="24" customHeight="1">
      <c r="A15" s="57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</row>
    <row r="16" spans="1:23" ht="24" customHeight="1">
      <c r="A16" s="57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</row>
    <row r="17" spans="1:23" ht="24" customHeight="1">
      <c r="A17" s="5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</row>
    <row r="18" spans="1:23" ht="24" customHeight="1" thickBot="1">
      <c r="A18" s="108" t="s">
        <v>189</v>
      </c>
      <c r="B18" s="109">
        <f>SUM(B5:B17)</f>
        <v>128</v>
      </c>
      <c r="C18" s="109">
        <f>SUM(C5:C17)</f>
        <v>5682</v>
      </c>
      <c r="D18" s="109">
        <v>1876</v>
      </c>
      <c r="E18" s="109">
        <f aca="true" t="shared" si="0" ref="E18:T18">SUM(E5:E17)</f>
        <v>583</v>
      </c>
      <c r="F18" s="109">
        <f t="shared" si="0"/>
        <v>584</v>
      </c>
      <c r="G18" s="109">
        <f>SUM(G5:G17)</f>
        <v>347</v>
      </c>
      <c r="H18" s="109">
        <f t="shared" si="0"/>
        <v>1892</v>
      </c>
      <c r="I18" s="109">
        <f t="shared" si="0"/>
        <v>15.5</v>
      </c>
      <c r="J18" s="109">
        <f t="shared" si="0"/>
        <v>39</v>
      </c>
      <c r="K18" s="109">
        <f t="shared" si="0"/>
        <v>50.9</v>
      </c>
      <c r="L18" s="109">
        <f>SUM(L5:L17)</f>
        <v>428.40000000000003</v>
      </c>
      <c r="M18" s="109">
        <f>SUM(M5:M17)</f>
        <v>552.3000000000001</v>
      </c>
      <c r="N18" s="109">
        <f>SUM(N5:N17)</f>
        <v>250.39999999999998</v>
      </c>
      <c r="O18" s="109">
        <f t="shared" si="0"/>
        <v>56</v>
      </c>
      <c r="P18" s="109">
        <f t="shared" si="0"/>
        <v>15.2</v>
      </c>
      <c r="Q18" s="109">
        <f t="shared" si="0"/>
        <v>834.9000000000001</v>
      </c>
      <c r="R18" s="109">
        <f t="shared" si="0"/>
        <v>22.5</v>
      </c>
      <c r="S18" s="109">
        <f t="shared" si="0"/>
        <v>72.67</v>
      </c>
      <c r="T18" s="109">
        <f t="shared" si="0"/>
        <v>2030</v>
      </c>
      <c r="U18" s="109">
        <f>SUM(U5:U17)</f>
        <v>32</v>
      </c>
      <c r="V18" s="109">
        <f>SUM(V5:V17)</f>
        <v>40</v>
      </c>
      <c r="W18" s="110">
        <f>SUM(W5:W17)</f>
        <v>108.87</v>
      </c>
    </row>
    <row r="19" spans="1:23" ht="24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</row>
    <row r="20" spans="1:23" ht="24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4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1:23" ht="24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4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</row>
    <row r="24" spans="1:23" ht="24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4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1:23" ht="24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4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23" ht="24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4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</row>
    <row r="30" spans="1:23" ht="24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4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ht="24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</row>
    <row r="33" spans="1:23" ht="24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</row>
    <row r="34" spans="1:23" ht="24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</row>
    <row r="35" spans="1:23" ht="24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</row>
  </sheetData>
  <mergeCells count="20">
    <mergeCell ref="J3:J4"/>
    <mergeCell ref="P3:P4"/>
    <mergeCell ref="R3:R4"/>
    <mergeCell ref="S3:S4"/>
    <mergeCell ref="T3:T4"/>
    <mergeCell ref="U3:V3"/>
    <mergeCell ref="K3:K4"/>
    <mergeCell ref="O3:O4"/>
    <mergeCell ref="Q3:Q4"/>
    <mergeCell ref="L3:N3"/>
    <mergeCell ref="G3:G4"/>
    <mergeCell ref="W3:W4"/>
    <mergeCell ref="A3:A4"/>
    <mergeCell ref="B3:B4"/>
    <mergeCell ref="C3:C4"/>
    <mergeCell ref="D3:D4"/>
    <mergeCell ref="E3:E4"/>
    <mergeCell ref="F3:F4"/>
    <mergeCell ref="H3:H4"/>
    <mergeCell ref="I3:I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xSplit="1" ySplit="4" topLeftCell="F5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30" customHeight="1"/>
  <cols>
    <col min="1" max="2" width="7.625" style="2" customWidth="1"/>
    <col min="3" max="3" width="6.50390625" style="2" customWidth="1"/>
    <col min="4" max="4" width="6.375" style="2" customWidth="1"/>
    <col min="5" max="5" width="6.875" style="2" customWidth="1"/>
    <col min="6" max="6" width="6.375" style="2" customWidth="1"/>
    <col min="7" max="7" width="7.00390625" style="2" customWidth="1"/>
    <col min="8" max="8" width="6.75390625" style="2" customWidth="1"/>
    <col min="9" max="9" width="6.375" style="2" customWidth="1"/>
    <col min="10" max="12" width="6.625" style="2" customWidth="1"/>
    <col min="13" max="14" width="6.50390625" style="2" customWidth="1"/>
    <col min="15" max="16384" width="7.625" style="2" customWidth="1"/>
  </cols>
  <sheetData>
    <row r="1" spans="1:17" ht="30" customHeight="1">
      <c r="A1" s="121" t="s">
        <v>192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30" customHeight="1" thickBot="1">
      <c r="Q2" s="2" t="s">
        <v>28</v>
      </c>
    </row>
    <row r="3" spans="1:17" s="111" customFormat="1" ht="30" customHeight="1">
      <c r="A3" s="154" t="s">
        <v>193</v>
      </c>
      <c r="B3" s="156" t="s">
        <v>194</v>
      </c>
      <c r="C3" s="156" t="s">
        <v>195</v>
      </c>
      <c r="D3" s="156" t="s">
        <v>196</v>
      </c>
      <c r="E3" s="156" t="s">
        <v>197</v>
      </c>
      <c r="F3" s="156" t="s">
        <v>198</v>
      </c>
      <c r="G3" s="156" t="s">
        <v>199</v>
      </c>
      <c r="H3" s="156" t="s">
        <v>200</v>
      </c>
      <c r="I3" s="152" t="s">
        <v>201</v>
      </c>
      <c r="J3" s="161" t="s">
        <v>202</v>
      </c>
      <c r="K3" s="162"/>
      <c r="L3" s="163"/>
      <c r="M3" s="156" t="s">
        <v>203</v>
      </c>
      <c r="N3" s="156" t="s">
        <v>204</v>
      </c>
      <c r="O3" s="156" t="s">
        <v>205</v>
      </c>
      <c r="P3" s="157" t="s">
        <v>206</v>
      </c>
      <c r="Q3" s="159" t="s">
        <v>207</v>
      </c>
    </row>
    <row r="4" spans="1:17" s="111" customFormat="1" ht="30.75" customHeight="1">
      <c r="A4" s="155"/>
      <c r="B4" s="153"/>
      <c r="C4" s="153"/>
      <c r="D4" s="153"/>
      <c r="E4" s="153"/>
      <c r="F4" s="153"/>
      <c r="G4" s="153"/>
      <c r="H4" s="153"/>
      <c r="I4" s="153"/>
      <c r="J4" s="97" t="s">
        <v>208</v>
      </c>
      <c r="K4" s="97" t="s">
        <v>209</v>
      </c>
      <c r="L4" s="97" t="s">
        <v>210</v>
      </c>
      <c r="M4" s="153"/>
      <c r="N4" s="153"/>
      <c r="O4" s="153"/>
      <c r="P4" s="158"/>
      <c r="Q4" s="160"/>
    </row>
    <row r="5" spans="1:17" s="111" customFormat="1" ht="30" customHeight="1">
      <c r="A5" s="96" t="s">
        <v>211</v>
      </c>
      <c r="B5" s="97">
        <v>3</v>
      </c>
      <c r="C5" s="97">
        <v>225</v>
      </c>
      <c r="D5" s="97">
        <v>162</v>
      </c>
      <c r="E5" s="99">
        <v>391.5</v>
      </c>
      <c r="F5" s="99">
        <v>36</v>
      </c>
      <c r="G5" s="97">
        <v>3.5</v>
      </c>
      <c r="H5" s="97"/>
      <c r="I5" s="97"/>
      <c r="J5" s="112">
        <v>203.175</v>
      </c>
      <c r="K5" s="112">
        <v>261.225</v>
      </c>
      <c r="L5" s="112">
        <v>116.1</v>
      </c>
      <c r="M5" s="97">
        <v>57</v>
      </c>
      <c r="N5" s="97">
        <v>51</v>
      </c>
      <c r="O5" s="97">
        <v>3.6</v>
      </c>
      <c r="P5" s="97">
        <v>20</v>
      </c>
      <c r="Q5" s="98">
        <v>0.65</v>
      </c>
    </row>
    <row r="6" spans="1:17" s="111" customFormat="1" ht="30" customHeight="1">
      <c r="A6" s="96" t="s">
        <v>212</v>
      </c>
      <c r="B6" s="97">
        <v>1</v>
      </c>
      <c r="C6" s="97">
        <v>150</v>
      </c>
      <c r="D6" s="97">
        <v>75</v>
      </c>
      <c r="E6" s="97">
        <v>75</v>
      </c>
      <c r="F6" s="97">
        <v>25</v>
      </c>
      <c r="G6" s="97">
        <v>2</v>
      </c>
      <c r="H6" s="97">
        <v>20</v>
      </c>
      <c r="I6" s="97">
        <v>3</v>
      </c>
      <c r="J6" s="112">
        <v>29.75</v>
      </c>
      <c r="K6" s="112">
        <v>38.25</v>
      </c>
      <c r="L6" s="112">
        <v>17</v>
      </c>
      <c r="M6" s="97">
        <v>2</v>
      </c>
      <c r="N6" s="97">
        <v>42</v>
      </c>
      <c r="O6" s="97">
        <v>2.1</v>
      </c>
      <c r="P6" s="97">
        <v>20</v>
      </c>
      <c r="Q6" s="98">
        <v>0.2</v>
      </c>
    </row>
    <row r="7" spans="1:17" s="111" customFormat="1" ht="30" customHeight="1">
      <c r="A7" s="96" t="s">
        <v>213</v>
      </c>
      <c r="B7" s="97">
        <v>1</v>
      </c>
      <c r="C7" s="97">
        <v>140</v>
      </c>
      <c r="D7" s="97">
        <v>90</v>
      </c>
      <c r="E7" s="97">
        <v>26</v>
      </c>
      <c r="F7" s="97">
        <v>24</v>
      </c>
      <c r="G7" s="97">
        <v>3.5</v>
      </c>
      <c r="H7" s="97">
        <v>21</v>
      </c>
      <c r="I7" s="97">
        <v>5</v>
      </c>
      <c r="J7" s="112">
        <v>9.1</v>
      </c>
      <c r="K7" s="112">
        <v>11.7</v>
      </c>
      <c r="L7" s="112">
        <v>5.2</v>
      </c>
      <c r="M7" s="97">
        <v>14</v>
      </c>
      <c r="N7" s="97">
        <v>29</v>
      </c>
      <c r="O7" s="97">
        <v>1.9</v>
      </c>
      <c r="P7" s="97">
        <v>10</v>
      </c>
      <c r="Q7" s="98">
        <v>0.45</v>
      </c>
    </row>
    <row r="8" spans="1:17" s="111" customFormat="1" ht="30" customHeight="1">
      <c r="A8" s="96"/>
      <c r="B8" s="97"/>
      <c r="C8" s="97"/>
      <c r="D8" s="97"/>
      <c r="E8" s="97"/>
      <c r="F8" s="97"/>
      <c r="G8" s="97"/>
      <c r="H8" s="97"/>
      <c r="I8" s="97"/>
      <c r="J8" s="112"/>
      <c r="K8" s="112"/>
      <c r="L8" s="112"/>
      <c r="M8" s="97"/>
      <c r="N8" s="97"/>
      <c r="O8" s="97"/>
      <c r="P8" s="97"/>
      <c r="Q8" s="98"/>
    </row>
    <row r="9" spans="1:17" s="111" customFormat="1" ht="30" customHeight="1">
      <c r="A9" s="96"/>
      <c r="B9" s="97"/>
      <c r="C9" s="97"/>
      <c r="D9" s="97"/>
      <c r="E9" s="97"/>
      <c r="F9" s="97"/>
      <c r="G9" s="97"/>
      <c r="H9" s="97"/>
      <c r="I9" s="97"/>
      <c r="J9" s="112"/>
      <c r="K9" s="112"/>
      <c r="L9" s="112"/>
      <c r="M9" s="97"/>
      <c r="N9" s="97"/>
      <c r="O9" s="97"/>
      <c r="P9" s="97"/>
      <c r="Q9" s="98"/>
    </row>
    <row r="10" spans="1:17" s="111" customFormat="1" ht="30" customHeight="1">
      <c r="A10" s="96"/>
      <c r="B10" s="97"/>
      <c r="C10" s="97"/>
      <c r="D10" s="97"/>
      <c r="E10" s="97"/>
      <c r="F10" s="97"/>
      <c r="G10" s="97"/>
      <c r="H10" s="97"/>
      <c r="I10" s="97"/>
      <c r="J10" s="112"/>
      <c r="K10" s="112"/>
      <c r="L10" s="112"/>
      <c r="M10" s="97"/>
      <c r="N10" s="97"/>
      <c r="O10" s="97"/>
      <c r="P10" s="97"/>
      <c r="Q10" s="98"/>
    </row>
    <row r="11" spans="1:17" s="111" customFormat="1" ht="30" customHeight="1">
      <c r="A11" s="96"/>
      <c r="B11" s="97"/>
      <c r="C11" s="97"/>
      <c r="D11" s="97"/>
      <c r="E11" s="97"/>
      <c r="F11" s="97"/>
      <c r="G11" s="97"/>
      <c r="H11" s="97"/>
      <c r="I11" s="97"/>
      <c r="J11" s="112"/>
      <c r="K11" s="112"/>
      <c r="L11" s="112"/>
      <c r="M11" s="97"/>
      <c r="N11" s="97"/>
      <c r="O11" s="97"/>
      <c r="P11" s="97"/>
      <c r="Q11" s="98"/>
    </row>
    <row r="12" spans="1:17" s="111" customFormat="1" ht="30" customHeight="1">
      <c r="A12" s="96"/>
      <c r="B12" s="97"/>
      <c r="C12" s="97"/>
      <c r="D12" s="97"/>
      <c r="E12" s="97"/>
      <c r="F12" s="97"/>
      <c r="G12" s="97"/>
      <c r="H12" s="97"/>
      <c r="I12" s="97"/>
      <c r="J12" s="112"/>
      <c r="K12" s="112"/>
      <c r="L12" s="112"/>
      <c r="M12" s="97"/>
      <c r="N12" s="97"/>
      <c r="O12" s="97"/>
      <c r="P12" s="97"/>
      <c r="Q12" s="98"/>
    </row>
    <row r="13" spans="1:17" s="111" customFormat="1" ht="30" customHeight="1" thickBot="1">
      <c r="A13" s="100" t="s">
        <v>214</v>
      </c>
      <c r="B13" s="101">
        <f aca="true" t="shared" si="0" ref="B13:Q13">SUM(B5:B12)</f>
        <v>5</v>
      </c>
      <c r="C13" s="101">
        <f t="shared" si="0"/>
        <v>515</v>
      </c>
      <c r="D13" s="101">
        <f t="shared" si="0"/>
        <v>327</v>
      </c>
      <c r="E13" s="101">
        <f t="shared" si="0"/>
        <v>492.5</v>
      </c>
      <c r="F13" s="101">
        <f t="shared" si="0"/>
        <v>85</v>
      </c>
      <c r="G13" s="101">
        <f>SUM(G5:G12)</f>
        <v>9</v>
      </c>
      <c r="H13" s="101">
        <f t="shared" si="0"/>
        <v>41</v>
      </c>
      <c r="I13" s="101">
        <f t="shared" si="0"/>
        <v>8</v>
      </c>
      <c r="J13" s="113">
        <f>SUM(J5:J12)</f>
        <v>242.025</v>
      </c>
      <c r="K13" s="113">
        <f>SUM(K5:K12)</f>
        <v>311.175</v>
      </c>
      <c r="L13" s="113">
        <f>SUM(L5:L12)</f>
        <v>138.29999999999998</v>
      </c>
      <c r="M13" s="101">
        <f t="shared" si="0"/>
        <v>73</v>
      </c>
      <c r="N13" s="101">
        <f t="shared" si="0"/>
        <v>122</v>
      </c>
      <c r="O13" s="101">
        <f t="shared" si="0"/>
        <v>7.6</v>
      </c>
      <c r="P13" s="101">
        <f t="shared" si="0"/>
        <v>50</v>
      </c>
      <c r="Q13" s="102">
        <f t="shared" si="0"/>
        <v>1.3</v>
      </c>
    </row>
    <row r="14" s="111" customFormat="1" ht="30" customHeight="1"/>
    <row r="15" s="111" customFormat="1" ht="30" customHeight="1"/>
    <row r="16" s="111" customFormat="1" ht="30" customHeight="1"/>
    <row r="17" s="111" customFormat="1" ht="30" customHeight="1"/>
    <row r="18" s="111" customFormat="1" ht="30" customHeight="1"/>
    <row r="19" s="111" customFormat="1" ht="30" customHeight="1"/>
    <row r="20" s="111" customFormat="1" ht="30" customHeight="1"/>
    <row r="21" s="111" customFormat="1" ht="30" customHeight="1"/>
    <row r="22" s="111" customFormat="1" ht="30" customHeight="1"/>
    <row r="23" s="111" customFormat="1" ht="30" customHeight="1"/>
    <row r="24" s="111" customFormat="1" ht="30" customHeight="1"/>
    <row r="25" s="111" customFormat="1" ht="30" customHeight="1"/>
    <row r="26" s="111" customFormat="1" ht="30" customHeight="1"/>
    <row r="27" s="111" customFormat="1" ht="30" customHeight="1"/>
    <row r="28" s="111" customFormat="1" ht="30" customHeight="1"/>
    <row r="29" s="111" customFormat="1" ht="30" customHeight="1"/>
    <row r="30" s="111" customFormat="1" ht="30" customHeight="1"/>
  </sheetData>
  <mergeCells count="16">
    <mergeCell ref="P3:P4"/>
    <mergeCell ref="Q3:Q4"/>
    <mergeCell ref="A1:Q1"/>
    <mergeCell ref="M3:M4"/>
    <mergeCell ref="N3:N4"/>
    <mergeCell ref="E3:E4"/>
    <mergeCell ref="F3:F4"/>
    <mergeCell ref="H3:H4"/>
    <mergeCell ref="J3:L3"/>
    <mergeCell ref="O3:O4"/>
    <mergeCell ref="I3:I4"/>
    <mergeCell ref="A3:A4"/>
    <mergeCell ref="B3:B4"/>
    <mergeCell ref="C3:C4"/>
    <mergeCell ref="D3:D4"/>
    <mergeCell ref="G3:G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9" sqref="J9"/>
    </sheetView>
  </sheetViews>
  <sheetFormatPr defaultColWidth="9.00390625" defaultRowHeight="30" customHeight="1"/>
  <cols>
    <col min="1" max="1" width="20.00390625" style="2" customWidth="1"/>
    <col min="2" max="3" width="13.00390625" style="2" customWidth="1"/>
    <col min="4" max="6" width="11.375" style="2" customWidth="1"/>
    <col min="7" max="7" width="12.00390625" style="2" customWidth="1"/>
    <col min="8" max="16384" width="9.00390625" style="2" customWidth="1"/>
  </cols>
  <sheetData>
    <row r="1" spans="1:7" ht="30" customHeight="1">
      <c r="A1" s="121" t="s">
        <v>85</v>
      </c>
      <c r="B1" s="121"/>
      <c r="C1" s="121"/>
      <c r="D1" s="121"/>
      <c r="E1" s="121"/>
      <c r="F1" s="121"/>
      <c r="G1" s="121"/>
    </row>
    <row r="2" ht="30" customHeight="1" thickBot="1">
      <c r="G2" s="2" t="s">
        <v>29</v>
      </c>
    </row>
    <row r="3" spans="1:7" ht="24" customHeight="1">
      <c r="A3" s="166" t="s">
        <v>87</v>
      </c>
      <c r="B3" s="168" t="s">
        <v>56</v>
      </c>
      <c r="C3" s="168" t="s">
        <v>57</v>
      </c>
      <c r="D3" s="170" t="s">
        <v>86</v>
      </c>
      <c r="E3" s="171"/>
      <c r="F3" s="172"/>
      <c r="G3" s="164" t="s">
        <v>190</v>
      </c>
    </row>
    <row r="4" spans="1:7" ht="42.75" customHeight="1">
      <c r="A4" s="167"/>
      <c r="B4" s="169"/>
      <c r="C4" s="169"/>
      <c r="D4" s="16" t="s">
        <v>78</v>
      </c>
      <c r="E4" s="16" t="s">
        <v>79</v>
      </c>
      <c r="F4" s="16" t="s">
        <v>80</v>
      </c>
      <c r="G4" s="165"/>
    </row>
    <row r="5" spans="1:7" ht="30" customHeight="1">
      <c r="A5" s="30" t="s">
        <v>88</v>
      </c>
      <c r="B5" s="7">
        <v>1850</v>
      </c>
      <c r="C5" s="7">
        <v>2450</v>
      </c>
      <c r="D5" s="29">
        <v>2675</v>
      </c>
      <c r="E5" s="29"/>
      <c r="F5" s="29">
        <v>160</v>
      </c>
      <c r="G5" s="13"/>
    </row>
    <row r="6" spans="1:7" ht="30" customHeight="1">
      <c r="A6" s="30" t="s">
        <v>89</v>
      </c>
      <c r="B6" s="7">
        <v>1950</v>
      </c>
      <c r="C6" s="7">
        <v>3150</v>
      </c>
      <c r="D6" s="29">
        <v>2328</v>
      </c>
      <c r="E6" s="29"/>
      <c r="F6" s="29">
        <v>160</v>
      </c>
      <c r="G6" s="8"/>
    </row>
    <row r="7" spans="1:7" ht="30" customHeight="1">
      <c r="A7" s="6"/>
      <c r="B7" s="7"/>
      <c r="C7" s="7"/>
      <c r="D7" s="29"/>
      <c r="E7" s="29"/>
      <c r="F7" s="29"/>
      <c r="G7" s="8"/>
    </row>
    <row r="8" spans="1:7" ht="30" customHeight="1">
      <c r="A8" s="6"/>
      <c r="B8" s="7"/>
      <c r="C8" s="7"/>
      <c r="D8" s="29"/>
      <c r="E8" s="29"/>
      <c r="F8" s="29"/>
      <c r="G8" s="8"/>
    </row>
    <row r="9" spans="1:7" ht="30" customHeight="1">
      <c r="A9" s="6"/>
      <c r="B9" s="7"/>
      <c r="C9" s="7"/>
      <c r="D9" s="29"/>
      <c r="E9" s="29"/>
      <c r="F9" s="29"/>
      <c r="G9" s="8"/>
    </row>
    <row r="10" spans="1:7" ht="30" customHeight="1">
      <c r="A10" s="6"/>
      <c r="B10" s="7"/>
      <c r="C10" s="7"/>
      <c r="D10" s="29"/>
      <c r="E10" s="29"/>
      <c r="F10" s="29"/>
      <c r="G10" s="8"/>
    </row>
    <row r="11" spans="1:7" ht="30" customHeight="1">
      <c r="A11" s="6"/>
      <c r="B11" s="7"/>
      <c r="C11" s="7"/>
      <c r="D11" s="29"/>
      <c r="E11" s="29"/>
      <c r="F11" s="29"/>
      <c r="G11" s="8"/>
    </row>
    <row r="12" spans="1:7" ht="30" customHeight="1" thickBot="1">
      <c r="A12" s="9" t="s">
        <v>26</v>
      </c>
      <c r="B12" s="10">
        <f aca="true" t="shared" si="0" ref="B12:G12">SUM(B5:B11)</f>
        <v>3800</v>
      </c>
      <c r="C12" s="10">
        <f t="shared" si="0"/>
        <v>5600</v>
      </c>
      <c r="D12" s="10">
        <f t="shared" si="0"/>
        <v>5003</v>
      </c>
      <c r="E12" s="10">
        <f t="shared" si="0"/>
        <v>0</v>
      </c>
      <c r="F12" s="10">
        <f t="shared" si="0"/>
        <v>320</v>
      </c>
      <c r="G12" s="11">
        <f t="shared" si="0"/>
        <v>0</v>
      </c>
    </row>
  </sheetData>
  <mergeCells count="6">
    <mergeCell ref="G3:G4"/>
    <mergeCell ref="A1:G1"/>
    <mergeCell ref="A3:A4"/>
    <mergeCell ref="B3:B4"/>
    <mergeCell ref="C3:C4"/>
    <mergeCell ref="D3:F3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pane xSplit="1" ySplit="4" topLeftCell="B5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30" customHeight="1"/>
  <cols>
    <col min="1" max="1" width="8.625" style="31" customWidth="1"/>
    <col min="2" max="2" width="6.75390625" style="31" customWidth="1"/>
    <col min="3" max="4" width="8.125" style="31" customWidth="1"/>
    <col min="5" max="7" width="7.125" style="31" customWidth="1"/>
    <col min="8" max="8" width="8.50390625" style="31" customWidth="1"/>
    <col min="9" max="10" width="8.625" style="31" customWidth="1"/>
    <col min="11" max="13" width="7.625" style="31" customWidth="1"/>
    <col min="14" max="15" width="7.375" style="31" customWidth="1"/>
    <col min="16" max="16384" width="8.625" style="31" customWidth="1"/>
  </cols>
  <sheetData>
    <row r="1" spans="1:15" ht="30" customHeight="1">
      <c r="A1" s="175" t="s">
        <v>191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0:15" s="32" customFormat="1" ht="30" customHeight="1" thickBot="1">
      <c r="J2" s="31"/>
      <c r="O2" s="32" t="s">
        <v>32</v>
      </c>
    </row>
    <row r="3" spans="1:15" s="32" customFormat="1" ht="30" customHeight="1">
      <c r="A3" s="179" t="s">
        <v>30</v>
      </c>
      <c r="B3" s="173" t="s">
        <v>22</v>
      </c>
      <c r="C3" s="173" t="s">
        <v>56</v>
      </c>
      <c r="D3" s="173" t="s">
        <v>57</v>
      </c>
      <c r="E3" s="173" t="s">
        <v>77</v>
      </c>
      <c r="F3" s="173"/>
      <c r="G3" s="173"/>
      <c r="H3" s="173" t="s">
        <v>81</v>
      </c>
      <c r="I3" s="173" t="s">
        <v>67</v>
      </c>
      <c r="J3" s="173" t="s">
        <v>82</v>
      </c>
      <c r="K3" s="173" t="s">
        <v>69</v>
      </c>
      <c r="L3" s="181" t="s">
        <v>91</v>
      </c>
      <c r="M3" s="173" t="s">
        <v>68</v>
      </c>
      <c r="N3" s="177" t="s">
        <v>23</v>
      </c>
      <c r="O3" s="178"/>
    </row>
    <row r="4" spans="1:15" s="32" customFormat="1" ht="30" customHeight="1">
      <c r="A4" s="180"/>
      <c r="B4" s="174"/>
      <c r="C4" s="174"/>
      <c r="D4" s="174"/>
      <c r="E4" s="33" t="s">
        <v>78</v>
      </c>
      <c r="F4" s="33" t="s">
        <v>79</v>
      </c>
      <c r="G4" s="33" t="s">
        <v>80</v>
      </c>
      <c r="H4" s="174"/>
      <c r="I4" s="176"/>
      <c r="J4" s="174"/>
      <c r="K4" s="176"/>
      <c r="L4" s="182"/>
      <c r="M4" s="176"/>
      <c r="N4" s="34" t="s">
        <v>24</v>
      </c>
      <c r="O4" s="35" t="s">
        <v>25</v>
      </c>
    </row>
    <row r="5" spans="1:15" s="32" customFormat="1" ht="30" customHeight="1">
      <c r="A5" s="36" t="s">
        <v>31</v>
      </c>
      <c r="B5" s="37">
        <v>20</v>
      </c>
      <c r="C5" s="44">
        <v>300</v>
      </c>
      <c r="D5" s="44">
        <v>80</v>
      </c>
      <c r="E5" s="37">
        <v>56</v>
      </c>
      <c r="F5" s="37">
        <v>72</v>
      </c>
      <c r="G5" s="37">
        <v>32</v>
      </c>
      <c r="H5" s="37"/>
      <c r="I5" s="37">
        <v>70</v>
      </c>
      <c r="J5" s="33"/>
      <c r="K5" s="37">
        <v>1.2</v>
      </c>
      <c r="L5" s="37">
        <f>840*0.6</f>
        <v>504</v>
      </c>
      <c r="M5" s="37">
        <v>275</v>
      </c>
      <c r="N5" s="37"/>
      <c r="O5" s="38"/>
    </row>
    <row r="6" spans="1:15" s="32" customFormat="1" ht="30" customHeight="1">
      <c r="A6" s="36" t="s">
        <v>90</v>
      </c>
      <c r="B6" s="37">
        <v>35</v>
      </c>
      <c r="C6" s="44">
        <f>B6*85</f>
        <v>2975</v>
      </c>
      <c r="D6" s="44">
        <f>C6*0.8</f>
        <v>2380</v>
      </c>
      <c r="E6" s="37">
        <f>7.5*B6</f>
        <v>262.5</v>
      </c>
      <c r="F6" s="37">
        <f>11*B6</f>
        <v>385</v>
      </c>
      <c r="G6" s="37">
        <f>3*B6</f>
        <v>105</v>
      </c>
      <c r="H6" s="37">
        <f>1.5*B6</f>
        <v>52.5</v>
      </c>
      <c r="I6" s="39">
        <f>2.3*B6</f>
        <v>80.5</v>
      </c>
      <c r="J6" s="33">
        <f>0.8*B6</f>
        <v>28</v>
      </c>
      <c r="K6" s="37">
        <f>(I6+J6)*0.045</f>
        <v>4.882499999999999</v>
      </c>
      <c r="L6" s="37">
        <f>1500*0.6</f>
        <v>900</v>
      </c>
      <c r="M6" s="37">
        <f>5*B6</f>
        <v>175</v>
      </c>
      <c r="N6" s="37"/>
      <c r="O6" s="38">
        <f>8*B6</f>
        <v>280</v>
      </c>
    </row>
    <row r="7" spans="1:15" s="32" customFormat="1" ht="30" customHeight="1">
      <c r="A7" s="36"/>
      <c r="B7" s="37"/>
      <c r="C7" s="37"/>
      <c r="D7" s="37"/>
      <c r="E7" s="37"/>
      <c r="F7" s="37"/>
      <c r="G7" s="37"/>
      <c r="H7" s="37"/>
      <c r="I7" s="37"/>
      <c r="J7" s="33"/>
      <c r="K7" s="37"/>
      <c r="L7" s="37"/>
      <c r="M7" s="37"/>
      <c r="N7" s="37"/>
      <c r="O7" s="38"/>
    </row>
    <row r="8" spans="1:15" s="32" customFormat="1" ht="30" customHeight="1">
      <c r="A8" s="36"/>
      <c r="B8" s="37"/>
      <c r="C8" s="37"/>
      <c r="D8" s="37"/>
      <c r="E8" s="37"/>
      <c r="F8" s="37"/>
      <c r="G8" s="37"/>
      <c r="H8" s="37"/>
      <c r="I8" s="37"/>
      <c r="J8" s="33"/>
      <c r="K8" s="37"/>
      <c r="L8" s="37"/>
      <c r="M8" s="37"/>
      <c r="N8" s="37"/>
      <c r="O8" s="38"/>
    </row>
    <row r="9" spans="1:15" s="32" customFormat="1" ht="30" customHeight="1">
      <c r="A9" s="36"/>
      <c r="B9" s="37"/>
      <c r="C9" s="37"/>
      <c r="D9" s="37"/>
      <c r="E9" s="37"/>
      <c r="F9" s="37"/>
      <c r="G9" s="37"/>
      <c r="H9" s="37"/>
      <c r="I9" s="37"/>
      <c r="J9" s="33"/>
      <c r="K9" s="37"/>
      <c r="L9" s="37"/>
      <c r="M9" s="37"/>
      <c r="N9" s="37"/>
      <c r="O9" s="38"/>
    </row>
    <row r="10" spans="1:15" s="32" customFormat="1" ht="30" customHeight="1">
      <c r="A10" s="36"/>
      <c r="B10" s="37"/>
      <c r="C10" s="37"/>
      <c r="D10" s="37"/>
      <c r="E10" s="37"/>
      <c r="F10" s="37"/>
      <c r="G10" s="37"/>
      <c r="H10" s="37"/>
      <c r="I10" s="37"/>
      <c r="J10" s="33"/>
      <c r="K10" s="37"/>
      <c r="L10" s="37"/>
      <c r="M10" s="37"/>
      <c r="N10" s="37"/>
      <c r="O10" s="38"/>
    </row>
    <row r="11" spans="1:15" s="32" customFormat="1" ht="30" customHeight="1">
      <c r="A11" s="36"/>
      <c r="B11" s="37"/>
      <c r="C11" s="37"/>
      <c r="D11" s="37"/>
      <c r="E11" s="37"/>
      <c r="F11" s="37"/>
      <c r="G11" s="37"/>
      <c r="H11" s="37"/>
      <c r="I11" s="37"/>
      <c r="J11" s="33"/>
      <c r="K11" s="37"/>
      <c r="L11" s="37"/>
      <c r="M11" s="37"/>
      <c r="N11" s="37"/>
      <c r="O11" s="38"/>
    </row>
    <row r="12" spans="1:15" s="32" customFormat="1" ht="30" customHeight="1">
      <c r="A12" s="36"/>
      <c r="B12" s="37"/>
      <c r="C12" s="37"/>
      <c r="D12" s="37"/>
      <c r="E12" s="37"/>
      <c r="F12" s="37"/>
      <c r="G12" s="37"/>
      <c r="H12" s="37"/>
      <c r="I12" s="37"/>
      <c r="J12" s="33"/>
      <c r="K12" s="37"/>
      <c r="L12" s="37"/>
      <c r="M12" s="37"/>
      <c r="N12" s="37"/>
      <c r="O12" s="38"/>
    </row>
    <row r="13" spans="1:15" s="32" customFormat="1" ht="30" customHeight="1">
      <c r="A13" s="36"/>
      <c r="B13" s="37"/>
      <c r="C13" s="37"/>
      <c r="D13" s="37"/>
      <c r="E13" s="37"/>
      <c r="F13" s="37"/>
      <c r="G13" s="37"/>
      <c r="H13" s="37"/>
      <c r="I13" s="37"/>
      <c r="J13" s="33"/>
      <c r="K13" s="37"/>
      <c r="L13" s="37"/>
      <c r="M13" s="37"/>
      <c r="N13" s="37"/>
      <c r="O13" s="38"/>
    </row>
    <row r="14" spans="1:15" s="32" customFormat="1" ht="30" customHeight="1">
      <c r="A14" s="36"/>
      <c r="B14" s="37"/>
      <c r="C14" s="37"/>
      <c r="D14" s="37"/>
      <c r="E14" s="37"/>
      <c r="F14" s="37"/>
      <c r="G14" s="37"/>
      <c r="H14" s="37"/>
      <c r="I14" s="37"/>
      <c r="J14" s="33"/>
      <c r="K14" s="37"/>
      <c r="L14" s="37"/>
      <c r="M14" s="37"/>
      <c r="N14" s="37"/>
      <c r="O14" s="38"/>
    </row>
    <row r="15" spans="1:15" s="32" customFormat="1" ht="30" customHeight="1" thickBot="1">
      <c r="A15" s="40" t="s">
        <v>26</v>
      </c>
      <c r="B15" s="41">
        <f aca="true" t="shared" si="0" ref="B15:O15">SUM(B5:B14)</f>
        <v>55</v>
      </c>
      <c r="C15" s="41">
        <f t="shared" si="0"/>
        <v>3275</v>
      </c>
      <c r="D15" s="41">
        <f t="shared" si="0"/>
        <v>2460</v>
      </c>
      <c r="E15" s="41">
        <f t="shared" si="0"/>
        <v>318.5</v>
      </c>
      <c r="F15" s="41">
        <f t="shared" si="0"/>
        <v>457</v>
      </c>
      <c r="G15" s="41">
        <f t="shared" si="0"/>
        <v>137</v>
      </c>
      <c r="H15" s="41">
        <f t="shared" si="0"/>
        <v>52.5</v>
      </c>
      <c r="I15" s="41">
        <f t="shared" si="0"/>
        <v>150.5</v>
      </c>
      <c r="J15" s="42">
        <f t="shared" si="0"/>
        <v>28</v>
      </c>
      <c r="K15" s="41">
        <f t="shared" si="0"/>
        <v>6.0825</v>
      </c>
      <c r="L15" s="41">
        <f t="shared" si="0"/>
        <v>1404</v>
      </c>
      <c r="M15" s="41">
        <f t="shared" si="0"/>
        <v>450</v>
      </c>
      <c r="N15" s="41">
        <f t="shared" si="0"/>
        <v>0</v>
      </c>
      <c r="O15" s="43">
        <f t="shared" si="0"/>
        <v>280</v>
      </c>
    </row>
    <row r="16" s="32" customFormat="1" ht="30" customHeight="1">
      <c r="J16" s="31"/>
    </row>
    <row r="17" s="32" customFormat="1" ht="30" customHeight="1"/>
    <row r="18" s="32" customFormat="1" ht="30" customHeight="1"/>
    <row r="19" s="32" customFormat="1" ht="30" customHeight="1"/>
    <row r="20" s="32" customFormat="1" ht="30" customHeight="1"/>
    <row r="21" s="32" customFormat="1" ht="30" customHeight="1"/>
    <row r="22" s="32" customFormat="1" ht="30" customHeight="1"/>
    <row r="23" s="32" customFormat="1" ht="30" customHeight="1"/>
    <row r="24" s="32" customFormat="1" ht="30" customHeight="1"/>
    <row r="25" s="32" customFormat="1" ht="30" customHeight="1"/>
    <row r="26" s="32" customFormat="1" ht="30" customHeight="1"/>
    <row r="27" s="32" customFormat="1" ht="30" customHeight="1"/>
    <row r="28" s="32" customFormat="1" ht="30" customHeight="1"/>
    <row r="29" s="32" customFormat="1" ht="30" customHeight="1"/>
    <row r="30" s="32" customFormat="1" ht="30" customHeight="1"/>
    <row r="31" s="32" customFormat="1" ht="30" customHeight="1"/>
    <row r="32" s="32" customFormat="1" ht="30" customHeight="1"/>
    <row r="33" s="32" customFormat="1" ht="30" customHeight="1"/>
    <row r="34" s="32" customFormat="1" ht="30" customHeight="1"/>
    <row r="35" s="32" customFormat="1" ht="30" customHeight="1"/>
    <row r="36" s="32" customFormat="1" ht="30" customHeight="1"/>
    <row r="37" s="32" customFormat="1" ht="30" customHeight="1"/>
    <row r="38" s="32" customFormat="1" ht="30" customHeight="1"/>
    <row r="39" s="32" customFormat="1" ht="30" customHeight="1"/>
    <row r="40" s="32" customFormat="1" ht="30" customHeight="1"/>
    <row r="41" s="32" customFormat="1" ht="30" customHeight="1"/>
    <row r="42" s="32" customFormat="1" ht="30" customHeight="1"/>
    <row r="43" s="32" customFormat="1" ht="30" customHeight="1"/>
    <row r="44" s="32" customFormat="1" ht="30" customHeight="1"/>
    <row r="45" s="32" customFormat="1" ht="30" customHeight="1">
      <c r="J45" s="31"/>
    </row>
    <row r="46" s="32" customFormat="1" ht="30" customHeight="1">
      <c r="J46" s="31"/>
    </row>
  </sheetData>
  <mergeCells count="13">
    <mergeCell ref="B3:B4"/>
    <mergeCell ref="J3:J4"/>
    <mergeCell ref="L3:L4"/>
    <mergeCell ref="C3:C4"/>
    <mergeCell ref="D3:D4"/>
    <mergeCell ref="E3:G3"/>
    <mergeCell ref="A1:O1"/>
    <mergeCell ref="K3:K4"/>
    <mergeCell ref="M3:M4"/>
    <mergeCell ref="N3:O3"/>
    <mergeCell ref="I3:I4"/>
    <mergeCell ref="H3:H4"/>
    <mergeCell ref="A3:A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PJX</cp:lastModifiedBy>
  <cp:lastPrinted>2001-09-29T21:50:39Z</cp:lastPrinted>
  <dcterms:created xsi:type="dcterms:W3CDTF">2003-09-28T07:17:39Z</dcterms:created>
  <dcterms:modified xsi:type="dcterms:W3CDTF">2001-09-30T06:27:24Z</dcterms:modified>
  <cp:category/>
  <cp:version/>
  <cp:contentType/>
  <cp:contentStatus/>
</cp:coreProperties>
</file>