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汤源纸业" sheetId="1" r:id="rId1"/>
    <sheet name="成本表" sheetId="2" r:id="rId2"/>
    <sheet name="损益表" sheetId="3" r:id="rId3"/>
    <sheet name="贷款表" sheetId="4" state="hidden" r:id="rId4"/>
    <sheet name="资金来源表" sheetId="5" r:id="rId5"/>
    <sheet name="资产负债表" sheetId="6" r:id="rId6"/>
    <sheet name="全部流量表" sheetId="7" r:id="rId7"/>
    <sheet name="自有流量表" sheetId="8" r:id="rId8"/>
    <sheet name="敏感性表" sheetId="9" r:id="rId9"/>
    <sheet name="数据表" sheetId="10" state="hidden" r:id="rId10"/>
  </sheets>
  <definedNames>
    <definedName name="_xlnm.Print_Area" localSheetId="3">'贷款表'!$A$1:$N$22</definedName>
    <definedName name="_xlnm.Print_Area" localSheetId="6">'全部流量表'!$A$1:$AA$24</definedName>
    <definedName name="_xlnm.Print_Area" localSheetId="2">'损益表'!$A$1:$AA$21</definedName>
    <definedName name="_xlnm.Print_Titles" localSheetId="1">'成本表'!$2:$2,'成本表'!$A:$A</definedName>
    <definedName name="_xlnm.Print_Titles" localSheetId="3">'贷款表'!$A:$B</definedName>
    <definedName name="_xlnm.Print_Titles" localSheetId="6">'全部流量表'!$A:$A</definedName>
    <definedName name="_xlnm.Print_Titles" localSheetId="2">'损益表'!$A:$A</definedName>
    <definedName name="_xlnm.Print_Titles" localSheetId="5">'资产负债表'!$A:$A</definedName>
    <definedName name="_xlnm.Print_Titles" localSheetId="4">'资金来源表'!$A:$A</definedName>
    <definedName name="_xlnm.Print_Titles" localSheetId="7">'自有流量表'!$A:$A</definedName>
  </definedNames>
  <calcPr fullCalcOnLoad="1"/>
</workbook>
</file>

<file path=xl/sharedStrings.xml><?xml version="1.0" encoding="utf-8"?>
<sst xmlns="http://schemas.openxmlformats.org/spreadsheetml/2006/main" count="304" uniqueCount="202">
  <si>
    <t>总</t>
  </si>
  <si>
    <t>估</t>
  </si>
  <si>
    <t>算</t>
  </si>
  <si>
    <t>表</t>
  </si>
  <si>
    <t>单位：万元</t>
  </si>
  <si>
    <t>序 号</t>
  </si>
  <si>
    <t>工  程  或  费  用  名  称</t>
  </si>
  <si>
    <t xml:space="preserve">  概             算             价             值</t>
  </si>
  <si>
    <t>技  术  经济  指  标</t>
  </si>
  <si>
    <t>备       注</t>
  </si>
  <si>
    <t>建      筑工  程  费</t>
  </si>
  <si>
    <t>安      装工  程  费</t>
  </si>
  <si>
    <t>设      备购  置  费</t>
  </si>
  <si>
    <t>其      它费      用</t>
  </si>
  <si>
    <t>合       计</t>
  </si>
  <si>
    <t>第一部分费用小计</t>
  </si>
  <si>
    <t>建设单位管理费</t>
  </si>
  <si>
    <t>办公及生活家具购置费</t>
  </si>
  <si>
    <t>职工培训费</t>
  </si>
  <si>
    <t>联合试运转费</t>
  </si>
  <si>
    <t>施工监理费</t>
  </si>
  <si>
    <t>招标工作费用</t>
  </si>
  <si>
    <t>环评费</t>
  </si>
  <si>
    <t>勘测费</t>
  </si>
  <si>
    <t>设计费</t>
  </si>
  <si>
    <t>预算费</t>
  </si>
  <si>
    <t>前期工作费用</t>
  </si>
  <si>
    <t>第二部分费用小计</t>
  </si>
  <si>
    <t>预备费</t>
  </si>
  <si>
    <t>合计</t>
  </si>
  <si>
    <t xml:space="preserve"> 总  成  本  费  用  估  算  表</t>
  </si>
  <si>
    <t>项目名称</t>
  </si>
  <si>
    <t>单位</t>
  </si>
  <si>
    <t>单价</t>
  </si>
  <si>
    <t>数量</t>
  </si>
  <si>
    <t>生产负荷   （%）</t>
  </si>
  <si>
    <t>基本电费</t>
  </si>
  <si>
    <t>千伏安</t>
  </si>
  <si>
    <t>电度电费</t>
  </si>
  <si>
    <t>万度</t>
  </si>
  <si>
    <t>药剂费</t>
  </si>
  <si>
    <t>吨</t>
  </si>
  <si>
    <t>工资及福利费</t>
  </si>
  <si>
    <t>万元</t>
  </si>
  <si>
    <t>折旧费</t>
  </si>
  <si>
    <t>修理费</t>
  </si>
  <si>
    <t>摊销费</t>
  </si>
  <si>
    <t>日常检修维护费</t>
  </si>
  <si>
    <t>其它费用</t>
  </si>
  <si>
    <t>贷款利息</t>
  </si>
  <si>
    <t>总成本费用</t>
  </si>
  <si>
    <t>其中：（1）固定成本</t>
  </si>
  <si>
    <t xml:space="preserve">            （2）可变成本</t>
  </si>
  <si>
    <t>经营成本</t>
  </si>
  <si>
    <t>单位成本</t>
  </si>
  <si>
    <t>流动资金</t>
  </si>
  <si>
    <t>损</t>
  </si>
  <si>
    <t>益</t>
  </si>
  <si>
    <t>生产负荷（%）</t>
  </si>
  <si>
    <t>销售收入</t>
  </si>
  <si>
    <t>销售税金及附加</t>
  </si>
  <si>
    <t>1、销项税</t>
  </si>
  <si>
    <t>2、进项税</t>
  </si>
  <si>
    <t>3、城市维护建设税</t>
  </si>
  <si>
    <t>4、教育费附加</t>
  </si>
  <si>
    <t>利润总额</t>
  </si>
  <si>
    <t>应纳税所得额</t>
  </si>
  <si>
    <t>所得税</t>
  </si>
  <si>
    <t>税后利润</t>
  </si>
  <si>
    <t>可供分配的利润</t>
  </si>
  <si>
    <t>盈余公积金</t>
  </si>
  <si>
    <t>应付利润</t>
  </si>
  <si>
    <t>未分配利润</t>
  </si>
  <si>
    <t>累计未分配利润</t>
  </si>
  <si>
    <t>投资利润率</t>
  </si>
  <si>
    <t>投资利税率</t>
  </si>
  <si>
    <t>借  款  偿  还  计  划  表</t>
  </si>
  <si>
    <t>贷款利率（%）</t>
  </si>
  <si>
    <t>一、外汇借款</t>
  </si>
  <si>
    <t>年初借款本息累计</t>
  </si>
  <si>
    <t>本年借款（外汇）</t>
  </si>
  <si>
    <t>本年应计利息</t>
  </si>
  <si>
    <t>本年偿还本金</t>
  </si>
  <si>
    <t>本年付息</t>
  </si>
  <si>
    <t>二、国内借款</t>
  </si>
  <si>
    <t>本年借款（国内）</t>
  </si>
  <si>
    <t>三、偿还本金资金来源</t>
  </si>
  <si>
    <t>利润</t>
  </si>
  <si>
    <t>折旧</t>
  </si>
  <si>
    <t>摊销</t>
  </si>
  <si>
    <t>其它资金</t>
  </si>
  <si>
    <t>偿还本金来源合计</t>
  </si>
  <si>
    <t>贷款偿还期</t>
  </si>
  <si>
    <t>年</t>
  </si>
  <si>
    <t>资 金 来 源 与 运 用</t>
  </si>
  <si>
    <t>一、资金来源</t>
  </si>
  <si>
    <t>长期借款</t>
  </si>
  <si>
    <t>流动资金借款</t>
  </si>
  <si>
    <t>其它短期借款</t>
  </si>
  <si>
    <t>自有资金</t>
  </si>
  <si>
    <t>自有流动资金</t>
  </si>
  <si>
    <t>回收固定资产余值</t>
  </si>
  <si>
    <t>回收流动资金</t>
  </si>
  <si>
    <t>二、资金运用</t>
  </si>
  <si>
    <t>固定资产投资</t>
  </si>
  <si>
    <t>建设期利息</t>
  </si>
  <si>
    <t>长期借款本金偿还</t>
  </si>
  <si>
    <t>流动资金借款还本</t>
  </si>
  <si>
    <t>其它短期借款还本</t>
  </si>
  <si>
    <t>三、盈余资金</t>
  </si>
  <si>
    <t>四、累计盈余资金</t>
  </si>
  <si>
    <t>资  产  负  债  表</t>
  </si>
  <si>
    <t>一、资产</t>
  </si>
  <si>
    <t>流动资产总额</t>
  </si>
  <si>
    <t>应收帐款</t>
  </si>
  <si>
    <t>存货</t>
  </si>
  <si>
    <t>现金</t>
  </si>
  <si>
    <t>累计盈余资金</t>
  </si>
  <si>
    <t>在建工程</t>
  </si>
  <si>
    <t>固定资金净值</t>
  </si>
  <si>
    <t>无形及递延资产净值</t>
  </si>
  <si>
    <t>二、负债及所有者权益</t>
  </si>
  <si>
    <t>流动负债</t>
  </si>
  <si>
    <t>应负帐款</t>
  </si>
  <si>
    <t>其它短期借贷</t>
  </si>
  <si>
    <t>长期借贷</t>
  </si>
  <si>
    <t>负债小计</t>
  </si>
  <si>
    <t>所有者权益</t>
  </si>
  <si>
    <t>资本金</t>
  </si>
  <si>
    <t>累计盈余公积金</t>
  </si>
  <si>
    <t>现  金  流  量  表（全部资金）</t>
  </si>
  <si>
    <t>一、现金流入</t>
  </si>
  <si>
    <t>产品销售收入</t>
  </si>
  <si>
    <t>二、现金流出</t>
  </si>
  <si>
    <t>三、净现金流量</t>
  </si>
  <si>
    <t>四、累计净现金流量</t>
  </si>
  <si>
    <t>五、所得税前净现金流量</t>
  </si>
  <si>
    <t>六、税前累计净现金流量</t>
  </si>
  <si>
    <t>七、净现金流量现值</t>
  </si>
  <si>
    <t>八、累计净现金流量现值</t>
  </si>
  <si>
    <t>九、所得税前净现金流量现值</t>
  </si>
  <si>
    <t>十、税前累计净现金流量现值</t>
  </si>
  <si>
    <t>税后</t>
  </si>
  <si>
    <t>税前</t>
  </si>
  <si>
    <t>销售收入变化+20%</t>
  </si>
  <si>
    <t>销售收入变化-20%</t>
  </si>
  <si>
    <t>投资变化+20%</t>
  </si>
  <si>
    <t>投资变化-20%</t>
  </si>
  <si>
    <t>经营成本变化+20%</t>
  </si>
  <si>
    <t>经营成本变化-20%</t>
  </si>
  <si>
    <t>现  金  流  量  表（自有资金）</t>
  </si>
  <si>
    <t>固定资产投资(自有)</t>
  </si>
  <si>
    <t>流动资金借款偿还</t>
  </si>
  <si>
    <t>长期借款利息支付</t>
  </si>
  <si>
    <t>流动资金借款利息支付</t>
  </si>
  <si>
    <t>敏   感   性   分   析</t>
  </si>
  <si>
    <t>基本方案</t>
  </si>
  <si>
    <t>一、销售收入变化</t>
  </si>
  <si>
    <t>1、财务内部收益率</t>
  </si>
  <si>
    <t>2、投资回收期（年）</t>
  </si>
  <si>
    <t>二、投资变化</t>
  </si>
  <si>
    <t>三、经营成本变化</t>
  </si>
  <si>
    <t>所得税前财务内部收益率</t>
  </si>
  <si>
    <t>第一年</t>
  </si>
  <si>
    <t>第二部分费用</t>
  </si>
  <si>
    <t>所得税前财务净现值(I=6%)</t>
  </si>
  <si>
    <t>第二年</t>
  </si>
  <si>
    <t>征地费</t>
  </si>
  <si>
    <t>财务内部收益率</t>
  </si>
  <si>
    <t>第三年</t>
  </si>
  <si>
    <t>无形及递延资产合计</t>
  </si>
  <si>
    <t>财务净现值(I=6%)</t>
  </si>
  <si>
    <t>第四年</t>
  </si>
  <si>
    <t>年设计规模</t>
  </si>
  <si>
    <t>所得税前财务净现值(I=4%)</t>
  </si>
  <si>
    <t>第五年</t>
  </si>
  <si>
    <t>年实际规模</t>
  </si>
  <si>
    <t>财务净现值(I=4%)</t>
  </si>
  <si>
    <t>第六年</t>
  </si>
  <si>
    <t>销售价格</t>
  </si>
  <si>
    <t>第七年</t>
  </si>
  <si>
    <t>所得税前投资回收期</t>
  </si>
  <si>
    <t>第八年</t>
  </si>
  <si>
    <t>流动资金贷款利息</t>
  </si>
  <si>
    <t>所得税前动态投资回收期</t>
  </si>
  <si>
    <t>第九年</t>
  </si>
  <si>
    <t>固定资产折旧基数</t>
  </si>
  <si>
    <t>投资回收期</t>
  </si>
  <si>
    <t>第十年</t>
  </si>
  <si>
    <t>固定资产余值</t>
  </si>
  <si>
    <t>动态投资回收期</t>
  </si>
  <si>
    <t>固定资产投资第一年</t>
  </si>
  <si>
    <t>固定资产投资第二年</t>
  </si>
  <si>
    <t>固定资产投资第三年</t>
  </si>
  <si>
    <t>盈亏平衡点（生产能力）</t>
  </si>
  <si>
    <t>固定资产投资第四年</t>
  </si>
  <si>
    <t>贷款第一年</t>
  </si>
  <si>
    <t>贷款第二年</t>
  </si>
  <si>
    <t>贷款第三年</t>
  </si>
  <si>
    <t>贷款第四年</t>
  </si>
  <si>
    <t>建设期贷款利息</t>
  </si>
  <si>
    <t>工程名称：AA纸业有限公司中水回用工程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</si>
</sst>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0.00_);\(0.00\)"/>
  </numFmts>
  <fonts count="12">
    <font>
      <sz val="12"/>
      <name val="宋体"/>
      <family val="0"/>
    </font>
    <font>
      <sz val="22"/>
      <name val="隶书"/>
      <family val="3"/>
    </font>
    <font>
      <sz val="22"/>
      <name val="Times New Roman"/>
      <family val="1"/>
    </font>
    <font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6"/>
      <name val="宋体"/>
      <family val="0"/>
    </font>
    <font>
      <sz val="12"/>
      <name val="Times New Roman"/>
      <family val="1"/>
    </font>
    <font>
      <sz val="12"/>
      <name val="隶书"/>
      <family val="3"/>
    </font>
    <font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16">
      <alignment/>
      <protection/>
    </xf>
    <xf numFmtId="0" fontId="10" fillId="0" borderId="1" xfId="16" applyFont="1" applyBorder="1" applyAlignment="1">
      <alignment horizontal="center"/>
      <protection/>
    </xf>
    <xf numFmtId="0" fontId="0" fillId="0" borderId="0" xfId="16" applyAlignment="1">
      <alignment horizontal="center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3" xfId="16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5" xfId="16" applyBorder="1" applyAlignment="1">
      <alignment horizontal="center" vertical="center" wrapText="1"/>
      <protection/>
    </xf>
    <xf numFmtId="0" fontId="11" fillId="0" borderId="6" xfId="16" applyFont="1" applyBorder="1" applyAlignment="1">
      <alignment horizontal="center" vertical="center" textRotation="255"/>
      <protection/>
    </xf>
    <xf numFmtId="0" fontId="11" fillId="0" borderId="7" xfId="16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 wrapText="1"/>
      <protection/>
    </xf>
    <xf numFmtId="0" fontId="11" fillId="0" borderId="2" xfId="16" applyFont="1" applyBorder="1" applyAlignment="1">
      <alignment horizontal="center" vertical="center"/>
      <protection/>
    </xf>
    <xf numFmtId="0" fontId="11" fillId="0" borderId="7" xfId="16" applyFont="1" applyBorder="1" applyAlignment="1">
      <alignment horizontal="center" vertical="center" wrapText="1"/>
      <protection/>
    </xf>
    <xf numFmtId="0" fontId="11" fillId="0" borderId="8" xfId="16" applyFont="1" applyBorder="1" applyAlignment="1">
      <alignment horizontal="center" vertical="center"/>
      <protection/>
    </xf>
    <xf numFmtId="0" fontId="0" fillId="0" borderId="5" xfId="16" applyBorder="1" applyAlignment="1">
      <alignment horizontal="center" vertical="center"/>
      <protection/>
    </xf>
    <xf numFmtId="2" fontId="0" fillId="0" borderId="5" xfId="16" applyNumberFormat="1" applyBorder="1" applyAlignment="1">
      <alignment horizontal="center" vertical="center"/>
      <protection/>
    </xf>
    <xf numFmtId="180" fontId="0" fillId="0" borderId="5" xfId="16" applyNumberFormat="1" applyBorder="1" applyAlignment="1">
      <alignment horizontal="center" vertical="center"/>
      <protection/>
    </xf>
    <xf numFmtId="177" fontId="0" fillId="0" borderId="3" xfId="16" applyNumberForma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2" fontId="5" fillId="0" borderId="5" xfId="0" applyNumberFormat="1" applyFont="1" applyBorder="1" applyAlignment="1">
      <alignment shrinkToFi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5" xfId="0" applyNumberFormat="1" applyFont="1" applyBorder="1" applyAlignment="1">
      <alignment horizontal="center" shrinkToFit="1"/>
    </xf>
    <xf numFmtId="176" fontId="5" fillId="0" borderId="5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shrinkToFit="1"/>
    </xf>
    <xf numFmtId="177" fontId="5" fillId="0" borderId="5" xfId="0" applyNumberFormat="1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8" fillId="0" borderId="0" xfId="0" applyFont="1" applyAlignment="1">
      <alignment/>
    </xf>
    <xf numFmtId="10" fontId="0" fillId="0" borderId="0" xfId="15" applyNumberFormat="1" applyAlignment="1">
      <alignment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indent="1"/>
    </xf>
    <xf numFmtId="178" fontId="5" fillId="0" borderId="5" xfId="0" applyNumberFormat="1" applyFont="1" applyBorder="1" applyAlignment="1">
      <alignment shrinkToFit="1"/>
    </xf>
    <xf numFmtId="176" fontId="5" fillId="0" borderId="5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179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77" fontId="5" fillId="0" borderId="5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2" fontId="4" fillId="0" borderId="5" xfId="0" applyNumberFormat="1" applyFont="1" applyBorder="1" applyAlignment="1">
      <alignment shrinkToFit="1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8" fontId="0" fillId="0" borderId="0" xfId="0" applyNumberFormat="1" applyAlignment="1">
      <alignment shrinkToFit="1"/>
    </xf>
    <xf numFmtId="0" fontId="0" fillId="0" borderId="0" xfId="0" applyAlignment="1">
      <alignment horizontal="left"/>
    </xf>
    <xf numFmtId="2" fontId="0" fillId="0" borderId="5" xfId="0" applyNumberFormat="1" applyBorder="1" applyAlignment="1">
      <alignment/>
    </xf>
    <xf numFmtId="2" fontId="0" fillId="0" borderId="5" xfId="0" applyNumberFormat="1" applyBorder="1" applyAlignment="1">
      <alignment shrinkToFit="1"/>
    </xf>
    <xf numFmtId="176" fontId="0" fillId="0" borderId="5" xfId="0" applyNumberFormat="1" applyBorder="1" applyAlignment="1">
      <alignment shrinkToFit="1"/>
    </xf>
    <xf numFmtId="2" fontId="0" fillId="0" borderId="0" xfId="0" applyNumberFormat="1" applyAlignment="1">
      <alignment shrinkToFit="1"/>
    </xf>
    <xf numFmtId="176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9" fontId="5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indent="1"/>
    </xf>
    <xf numFmtId="10" fontId="5" fillId="0" borderId="5" xfId="0" applyNumberFormat="1" applyFont="1" applyBorder="1" applyAlignment="1">
      <alignment/>
    </xf>
    <xf numFmtId="10" fontId="5" fillId="0" borderId="5" xfId="15" applyNumberFormat="1" applyFont="1" applyBorder="1" applyAlignment="1">
      <alignment/>
    </xf>
    <xf numFmtId="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16" applyBorder="1" applyAlignment="1">
      <alignment horizontal="center" vertical="center" textRotation="255"/>
      <protection/>
    </xf>
    <xf numFmtId="0" fontId="0" fillId="0" borderId="6" xfId="16" applyBorder="1" applyAlignment="1">
      <alignment horizontal="center" vertical="center" textRotation="255"/>
      <protection/>
    </xf>
    <xf numFmtId="0" fontId="0" fillId="0" borderId="2" xfId="16" applyBorder="1" applyAlignment="1">
      <alignment horizontal="center" vertical="center"/>
      <protection/>
    </xf>
    <xf numFmtId="0" fontId="0" fillId="0" borderId="7" xfId="16" applyBorder="1" applyAlignment="1">
      <alignment horizontal="center" vertical="center"/>
      <protection/>
    </xf>
    <xf numFmtId="0" fontId="0" fillId="0" borderId="3" xfId="16" applyBorder="1" applyAlignment="1">
      <alignment horizontal="center" vertical="center"/>
      <protection/>
    </xf>
    <xf numFmtId="0" fontId="0" fillId="0" borderId="11" xfId="16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2" xfId="16" applyBorder="1" applyAlignment="1">
      <alignment horizontal="center" vertical="center" wrapText="1"/>
      <protection/>
    </xf>
    <xf numFmtId="0" fontId="0" fillId="0" borderId="7" xfId="16" applyBorder="1" applyAlignment="1">
      <alignment horizontal="center" vertical="center" wrapText="1"/>
      <protection/>
    </xf>
    <xf numFmtId="0" fontId="0" fillId="0" borderId="12" xfId="16" applyBorder="1" applyAlignment="1">
      <alignment horizontal="center" vertical="center"/>
      <protection/>
    </xf>
    <xf numFmtId="0" fontId="0" fillId="0" borderId="8" xfId="16" applyBorder="1" applyAlignment="1">
      <alignment horizontal="center" vertical="center"/>
      <protection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16" applyFont="1" applyAlignment="1">
      <alignment horizontal="left" vertical="center"/>
      <protection/>
    </xf>
  </cellXfs>
  <cellStyles count="7">
    <cellStyle name="Normal" xfId="0"/>
    <cellStyle name="Percent" xfId="15"/>
    <cellStyle name="常规_2002总概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="75" zoomScaleNormal="75" workbookViewId="0" topLeftCell="A2">
      <selection activeCell="D5" sqref="D5"/>
    </sheetView>
  </sheetViews>
  <sheetFormatPr defaultColWidth="9.00390625" defaultRowHeight="14.25"/>
  <cols>
    <col min="1" max="1" width="0.6171875" style="1" customWidth="1"/>
    <col min="2" max="2" width="7.125" style="1" customWidth="1"/>
    <col min="3" max="3" width="26.625" style="1" customWidth="1"/>
    <col min="4" max="7" width="11.125" style="1" customWidth="1"/>
    <col min="8" max="8" width="13.125" style="1" customWidth="1"/>
    <col min="9" max="9" width="11.125" style="1" customWidth="1"/>
    <col min="10" max="10" width="14.625" style="1" customWidth="1"/>
    <col min="11" max="16384" width="9.00390625" style="1" customWidth="1"/>
  </cols>
  <sheetData>
    <row r="1" spans="4:7" ht="50.25" customHeight="1">
      <c r="D1" s="2" t="s">
        <v>0</v>
      </c>
      <c r="E1" s="2" t="s">
        <v>1</v>
      </c>
      <c r="F1" s="2" t="s">
        <v>2</v>
      </c>
      <c r="G1" s="2" t="s">
        <v>3</v>
      </c>
    </row>
    <row r="2" spans="2:10" ht="18" customHeight="1">
      <c r="B2" s="3"/>
      <c r="D2" s="3"/>
      <c r="E2" s="3"/>
      <c r="F2" s="3"/>
      <c r="G2" s="3"/>
      <c r="H2" s="3"/>
      <c r="I2" s="3"/>
      <c r="J2" s="3"/>
    </row>
    <row r="3" spans="2:10" ht="18" customHeight="1">
      <c r="B3" s="87" t="s">
        <v>201</v>
      </c>
      <c r="C3" s="3"/>
      <c r="D3" s="3"/>
      <c r="E3" s="3"/>
      <c r="F3" s="3"/>
      <c r="G3" s="3"/>
      <c r="H3" s="3"/>
      <c r="J3" s="3" t="s">
        <v>4</v>
      </c>
    </row>
    <row r="4" spans="2:10" ht="24" customHeight="1">
      <c r="B4" s="73" t="s">
        <v>5</v>
      </c>
      <c r="C4" s="75" t="s">
        <v>6</v>
      </c>
      <c r="D4" s="77" t="s">
        <v>7</v>
      </c>
      <c r="E4" s="78"/>
      <c r="F4" s="78"/>
      <c r="G4" s="78"/>
      <c r="H4" s="79"/>
      <c r="I4" s="80" t="s">
        <v>8</v>
      </c>
      <c r="J4" s="82" t="s">
        <v>9</v>
      </c>
    </row>
    <row r="5" spans="2:10" ht="33.75" customHeight="1">
      <c r="B5" s="74"/>
      <c r="C5" s="76"/>
      <c r="D5" s="7" t="s">
        <v>10</v>
      </c>
      <c r="E5" s="7" t="s">
        <v>11</v>
      </c>
      <c r="F5" s="7" t="s">
        <v>12</v>
      </c>
      <c r="G5" s="7" t="s">
        <v>13</v>
      </c>
      <c r="H5" s="4" t="s">
        <v>14</v>
      </c>
      <c r="I5" s="81"/>
      <c r="J5" s="83"/>
    </row>
    <row r="6" spans="2:10" ht="25.5" customHeight="1">
      <c r="B6" s="8">
        <v>1</v>
      </c>
      <c r="C6" s="9">
        <v>2</v>
      </c>
      <c r="D6" s="10">
        <v>3</v>
      </c>
      <c r="E6" s="10">
        <v>4</v>
      </c>
      <c r="F6" s="10">
        <v>5</v>
      </c>
      <c r="G6" s="10">
        <v>6</v>
      </c>
      <c r="H6" s="11">
        <v>7</v>
      </c>
      <c r="I6" s="12">
        <v>8</v>
      </c>
      <c r="J6" s="13">
        <v>9</v>
      </c>
    </row>
    <row r="7" spans="2:10" ht="25.5" customHeight="1">
      <c r="B7" s="8"/>
      <c r="C7" s="9"/>
      <c r="D7" s="10"/>
      <c r="E7" s="10"/>
      <c r="F7" s="10"/>
      <c r="G7" s="10"/>
      <c r="H7" s="11"/>
      <c r="I7" s="12"/>
      <c r="J7" s="13"/>
    </row>
    <row r="8" spans="2:10" ht="25.5" customHeight="1">
      <c r="B8" s="6"/>
      <c r="C8" s="14" t="s">
        <v>15</v>
      </c>
      <c r="D8" s="15"/>
      <c r="E8" s="15"/>
      <c r="F8" s="15"/>
      <c r="G8" s="15"/>
      <c r="H8" s="15">
        <v>3679</v>
      </c>
      <c r="I8" s="15"/>
      <c r="J8" s="5"/>
    </row>
    <row r="9" spans="2:10" ht="25.5" customHeight="1">
      <c r="B9" s="6">
        <v>1</v>
      </c>
      <c r="C9" s="14" t="s">
        <v>16</v>
      </c>
      <c r="D9" s="15"/>
      <c r="E9" s="15"/>
      <c r="F9" s="15"/>
      <c r="G9" s="15"/>
      <c r="H9" s="15">
        <f>H8*0.013</f>
        <v>47.827</v>
      </c>
      <c r="I9" s="15"/>
      <c r="J9" s="5"/>
    </row>
    <row r="10" spans="2:10" ht="25.5" customHeight="1">
      <c r="B10" s="6">
        <v>2</v>
      </c>
      <c r="C10" s="14" t="s">
        <v>17</v>
      </c>
      <c r="D10" s="15"/>
      <c r="E10" s="15"/>
      <c r="F10" s="15"/>
      <c r="G10" s="15"/>
      <c r="H10" s="15">
        <v>1.28</v>
      </c>
      <c r="I10" s="15"/>
      <c r="J10" s="5"/>
    </row>
    <row r="11" spans="2:10" ht="25.5" customHeight="1">
      <c r="B11" s="6">
        <v>3</v>
      </c>
      <c r="C11" s="14" t="s">
        <v>18</v>
      </c>
      <c r="D11" s="15"/>
      <c r="E11" s="15"/>
      <c r="F11" s="15"/>
      <c r="G11" s="15"/>
      <c r="H11" s="15">
        <v>1.73</v>
      </c>
      <c r="I11" s="15"/>
      <c r="J11" s="5"/>
    </row>
    <row r="12" spans="2:10" ht="25.5" customHeight="1">
      <c r="B12" s="6">
        <v>4</v>
      </c>
      <c r="C12" s="14" t="s">
        <v>19</v>
      </c>
      <c r="D12" s="15"/>
      <c r="E12" s="15"/>
      <c r="F12" s="15"/>
      <c r="G12" s="15"/>
      <c r="H12" s="16">
        <v>19.5</v>
      </c>
      <c r="I12" s="15"/>
      <c r="J12" s="5"/>
    </row>
    <row r="13" spans="2:10" ht="25.5" customHeight="1">
      <c r="B13" s="6">
        <v>5</v>
      </c>
      <c r="C13" s="14" t="s">
        <v>20</v>
      </c>
      <c r="D13" s="15"/>
      <c r="E13" s="15"/>
      <c r="F13" s="15"/>
      <c r="G13" s="15"/>
      <c r="H13" s="15">
        <f>H8*0.012</f>
        <v>44.148</v>
      </c>
      <c r="I13" s="15"/>
      <c r="J13" s="5"/>
    </row>
    <row r="14" spans="2:10" ht="25.5" customHeight="1">
      <c r="B14" s="6">
        <v>6</v>
      </c>
      <c r="C14" s="14" t="s">
        <v>21</v>
      </c>
      <c r="D14" s="15"/>
      <c r="E14" s="15"/>
      <c r="F14" s="15"/>
      <c r="G14" s="15"/>
      <c r="H14" s="15">
        <f>H8*0.05</f>
        <v>183.95000000000002</v>
      </c>
      <c r="I14" s="15"/>
      <c r="J14" s="5"/>
    </row>
    <row r="15" spans="2:10" ht="25.5" customHeight="1">
      <c r="B15" s="6">
        <v>7</v>
      </c>
      <c r="C15" s="14" t="s">
        <v>22</v>
      </c>
      <c r="D15" s="15"/>
      <c r="E15" s="15"/>
      <c r="F15" s="15"/>
      <c r="G15" s="15"/>
      <c r="H15" s="15">
        <v>8.05</v>
      </c>
      <c r="I15" s="15"/>
      <c r="J15" s="5"/>
    </row>
    <row r="16" spans="2:10" ht="25.5" customHeight="1">
      <c r="B16" s="6">
        <v>8</v>
      </c>
      <c r="C16" s="14" t="s">
        <v>23</v>
      </c>
      <c r="D16" s="15"/>
      <c r="E16" s="15"/>
      <c r="F16" s="15"/>
      <c r="G16" s="15"/>
      <c r="H16" s="15">
        <f>H8*0.0045</f>
        <v>16.5555</v>
      </c>
      <c r="I16" s="15"/>
      <c r="J16" s="5"/>
    </row>
    <row r="17" spans="2:10" ht="25.5" customHeight="1">
      <c r="B17" s="6">
        <v>9</v>
      </c>
      <c r="C17" s="14" t="s">
        <v>24</v>
      </c>
      <c r="D17" s="15"/>
      <c r="E17" s="15"/>
      <c r="F17" s="15"/>
      <c r="G17" s="15"/>
      <c r="H17" s="15">
        <f>H8*0.0328*1.15</f>
        <v>138.77188</v>
      </c>
      <c r="I17" s="15"/>
      <c r="J17" s="5"/>
    </row>
    <row r="18" spans="2:10" ht="25.5" customHeight="1">
      <c r="B18" s="6">
        <v>10</v>
      </c>
      <c r="C18" s="14" t="s">
        <v>25</v>
      </c>
      <c r="D18" s="15"/>
      <c r="E18" s="15"/>
      <c r="F18" s="15"/>
      <c r="G18" s="15"/>
      <c r="H18" s="15">
        <f>H17*0.1</f>
        <v>13.877188000000002</v>
      </c>
      <c r="I18" s="15"/>
      <c r="J18" s="5"/>
    </row>
    <row r="19" spans="2:10" ht="25.5" customHeight="1">
      <c r="B19" s="6">
        <v>11</v>
      </c>
      <c r="C19" s="14" t="s">
        <v>26</v>
      </c>
      <c r="D19" s="15"/>
      <c r="E19" s="15"/>
      <c r="F19" s="15"/>
      <c r="G19" s="15"/>
      <c r="H19" s="15">
        <v>15.43</v>
      </c>
      <c r="I19" s="15"/>
      <c r="J19" s="5"/>
    </row>
    <row r="20" spans="2:10" ht="25.5" customHeight="1">
      <c r="B20" s="6"/>
      <c r="C20" s="14" t="s">
        <v>27</v>
      </c>
      <c r="D20" s="15"/>
      <c r="E20" s="15"/>
      <c r="F20" s="15"/>
      <c r="G20" s="15"/>
      <c r="H20" s="15">
        <f>SUM(H9:H19)</f>
        <v>491.119568</v>
      </c>
      <c r="I20" s="15"/>
      <c r="J20" s="5"/>
    </row>
    <row r="21" spans="2:10" ht="25.5" customHeight="1">
      <c r="B21" s="6"/>
      <c r="C21" s="14" t="s">
        <v>28</v>
      </c>
      <c r="D21" s="15"/>
      <c r="E21" s="15"/>
      <c r="F21" s="15"/>
      <c r="G21" s="15"/>
      <c r="H21" s="15">
        <f>(H20+H8)*0.08</f>
        <v>333.60956544000004</v>
      </c>
      <c r="I21" s="15"/>
      <c r="J21" s="5"/>
    </row>
    <row r="22" spans="2:10" ht="25.5" customHeight="1">
      <c r="B22" s="6"/>
      <c r="C22" s="14"/>
      <c r="D22" s="15"/>
      <c r="E22" s="15"/>
      <c r="F22" s="15"/>
      <c r="G22" s="15"/>
      <c r="H22" s="15"/>
      <c r="I22" s="15"/>
      <c r="J22" s="17"/>
    </row>
    <row r="23" spans="2:10" ht="25.5" customHeight="1">
      <c r="B23" s="6"/>
      <c r="C23" s="14"/>
      <c r="D23" s="15"/>
      <c r="E23" s="15"/>
      <c r="F23" s="15"/>
      <c r="G23" s="15"/>
      <c r="H23" s="15"/>
      <c r="I23" s="15"/>
      <c r="J23" s="5"/>
    </row>
    <row r="24" spans="2:10" ht="25.5" customHeight="1">
      <c r="B24" s="6"/>
      <c r="C24" s="14"/>
      <c r="D24" s="15"/>
      <c r="E24" s="15"/>
      <c r="F24" s="15"/>
      <c r="G24" s="15"/>
      <c r="H24" s="15"/>
      <c r="I24" s="15"/>
      <c r="J24" s="5"/>
    </row>
    <row r="25" spans="2:10" ht="25.5" customHeight="1">
      <c r="B25" s="6"/>
      <c r="C25" s="14"/>
      <c r="D25" s="15"/>
      <c r="E25" s="15"/>
      <c r="F25" s="15"/>
      <c r="G25" s="15"/>
      <c r="H25" s="15"/>
      <c r="I25" s="15"/>
      <c r="J25" s="5"/>
    </row>
    <row r="26" spans="2:10" ht="25.5" customHeight="1">
      <c r="B26" s="6"/>
      <c r="C26" s="14"/>
      <c r="D26" s="15"/>
      <c r="E26" s="15"/>
      <c r="F26" s="15"/>
      <c r="G26" s="15"/>
      <c r="H26" s="15"/>
      <c r="I26" s="15"/>
      <c r="J26" s="5"/>
    </row>
    <row r="27" spans="2:10" ht="25.5" customHeight="1">
      <c r="B27" s="6"/>
      <c r="C27" s="14"/>
      <c r="D27" s="15"/>
      <c r="E27" s="15"/>
      <c r="F27" s="15"/>
      <c r="G27" s="15"/>
      <c r="H27" s="15"/>
      <c r="I27" s="15"/>
      <c r="J27" s="5"/>
    </row>
    <row r="28" spans="2:10" ht="25.5" customHeight="1">
      <c r="B28" s="6"/>
      <c r="C28" s="14"/>
      <c r="D28" s="15"/>
      <c r="E28" s="15"/>
      <c r="F28" s="15"/>
      <c r="G28" s="15"/>
      <c r="H28" s="15"/>
      <c r="I28" s="15"/>
      <c r="J28" s="5"/>
    </row>
    <row r="29" spans="2:10" ht="25.5" customHeight="1">
      <c r="B29" s="6"/>
      <c r="C29" s="14"/>
      <c r="D29" s="15"/>
      <c r="E29" s="15"/>
      <c r="F29" s="15"/>
      <c r="G29" s="15"/>
      <c r="H29" s="15"/>
      <c r="I29" s="15"/>
      <c r="J29" s="5"/>
    </row>
    <row r="30" spans="2:10" ht="25.5" customHeight="1">
      <c r="B30" s="6"/>
      <c r="C30" s="14"/>
      <c r="D30" s="15"/>
      <c r="E30" s="15"/>
      <c r="F30" s="15"/>
      <c r="G30" s="15"/>
      <c r="H30" s="15"/>
      <c r="I30" s="15"/>
      <c r="J30" s="5"/>
    </row>
    <row r="31" spans="2:10" ht="25.5" customHeight="1">
      <c r="B31" s="6"/>
      <c r="C31" s="14"/>
      <c r="D31" s="15"/>
      <c r="E31" s="15"/>
      <c r="F31" s="15"/>
      <c r="G31" s="15"/>
      <c r="H31" s="15"/>
      <c r="I31" s="15"/>
      <c r="J31" s="5"/>
    </row>
    <row r="32" spans="2:10" ht="25.5" customHeight="1">
      <c r="B32" s="6"/>
      <c r="C32" s="14"/>
      <c r="D32" s="15"/>
      <c r="E32" s="15"/>
      <c r="F32" s="15"/>
      <c r="G32" s="15"/>
      <c r="H32" s="15"/>
      <c r="I32" s="15"/>
      <c r="J32" s="5"/>
    </row>
    <row r="33" spans="2:10" ht="25.5" customHeight="1">
      <c r="B33" s="6"/>
      <c r="C33" s="14"/>
      <c r="D33" s="15"/>
      <c r="E33" s="15"/>
      <c r="F33" s="15"/>
      <c r="G33" s="15"/>
      <c r="H33" s="15"/>
      <c r="I33" s="15"/>
      <c r="J33" s="5"/>
    </row>
    <row r="34" spans="2:10" ht="25.5" customHeight="1">
      <c r="B34" s="6"/>
      <c r="C34" s="14" t="s">
        <v>29</v>
      </c>
      <c r="D34" s="15"/>
      <c r="E34" s="15"/>
      <c r="F34" s="15"/>
      <c r="G34" s="15"/>
      <c r="H34" s="15">
        <f>H23+H22+H21+H20+H8</f>
        <v>4503.72913344</v>
      </c>
      <c r="I34" s="15"/>
      <c r="J34" s="5"/>
    </row>
  </sheetData>
  <mergeCells count="5">
    <mergeCell ref="J4:J5"/>
    <mergeCell ref="B4:B5"/>
    <mergeCell ref="C4:C5"/>
    <mergeCell ref="D4:H4"/>
    <mergeCell ref="I4:I5"/>
  </mergeCells>
  <printOptions/>
  <pageMargins left="0.7479166666666667" right="0.7479166666666667" top="0.5902777777777778" bottom="0.5902777777777778" header="0.5118055555555556" footer="0.39305555555555555"/>
  <pageSetup errors="NA" firstPageNumber="1" useFirstPageNumber="1" horizontalDpi="180" verticalDpi="180" orientation="landscape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workbookViewId="0" topLeftCell="A1">
      <selection activeCell="L15" sqref="L15"/>
    </sheetView>
  </sheetViews>
  <sheetFormatPr defaultColWidth="9.00390625" defaultRowHeight="14.25"/>
  <cols>
    <col min="1" max="1" width="11.50390625" style="0" customWidth="1"/>
    <col min="3" max="3" width="5.50390625" style="0" customWidth="1"/>
    <col min="4" max="4" width="10.875" style="0" customWidth="1"/>
    <col min="7" max="7" width="9.125" style="0" customWidth="1"/>
    <col min="8" max="8" width="12.00390625" style="0" customWidth="1"/>
  </cols>
  <sheetData>
    <row r="1" spans="1:3" ht="14.25">
      <c r="A1" s="86"/>
      <c r="B1" s="86"/>
      <c r="C1" s="86"/>
    </row>
    <row r="2" spans="1:10" ht="19.5" customHeight="1">
      <c r="A2" s="86" t="s">
        <v>104</v>
      </c>
      <c r="B2" s="86"/>
      <c r="C2" s="86"/>
      <c r="D2">
        <v>2503.73</v>
      </c>
      <c r="E2" s="86" t="s">
        <v>162</v>
      </c>
      <c r="F2" s="86"/>
      <c r="G2" s="86"/>
      <c r="H2" s="56">
        <f>'全部流量表'!K25</f>
        <v>0.08165498903658087</v>
      </c>
      <c r="I2" t="s">
        <v>163</v>
      </c>
      <c r="J2" s="64">
        <v>100</v>
      </c>
    </row>
    <row r="3" spans="1:10" ht="19.5" customHeight="1">
      <c r="A3" s="86" t="s">
        <v>164</v>
      </c>
      <c r="B3" s="86"/>
      <c r="C3" s="86"/>
      <c r="D3">
        <v>273.03</v>
      </c>
      <c r="E3" s="86" t="s">
        <v>165</v>
      </c>
      <c r="F3" s="86"/>
      <c r="G3" s="86"/>
      <c r="H3" s="70">
        <f>'全部流量表'!M25</f>
        <v>472.4410681136129</v>
      </c>
      <c r="I3" t="s">
        <v>166</v>
      </c>
      <c r="J3" s="64">
        <v>100</v>
      </c>
    </row>
    <row r="4" spans="1:10" ht="19.5" customHeight="1">
      <c r="A4" s="86" t="s">
        <v>167</v>
      </c>
      <c r="B4" s="86"/>
      <c r="C4" s="86"/>
      <c r="D4">
        <v>0</v>
      </c>
      <c r="E4" s="86" t="s">
        <v>168</v>
      </c>
      <c r="F4" s="86"/>
      <c r="G4" s="86"/>
      <c r="H4" s="56">
        <f>'全部流量表'!E25</f>
        <v>0.058641039360631766</v>
      </c>
      <c r="I4" t="s">
        <v>169</v>
      </c>
      <c r="J4" s="64">
        <v>100</v>
      </c>
    </row>
    <row r="5" spans="1:10" ht="19.5" customHeight="1">
      <c r="A5" s="86" t="s">
        <v>170</v>
      </c>
      <c r="B5" s="86"/>
      <c r="C5" s="86"/>
      <c r="D5">
        <f>D3-D4</f>
        <v>273.03</v>
      </c>
      <c r="E5" s="86" t="s">
        <v>171</v>
      </c>
      <c r="F5" s="86"/>
      <c r="G5" s="86"/>
      <c r="H5" s="70">
        <f>'全部流量表'!G25</f>
        <v>-28.148908336558197</v>
      </c>
      <c r="I5" t="s">
        <v>172</v>
      </c>
      <c r="J5" s="64">
        <v>100</v>
      </c>
    </row>
    <row r="6" spans="1:10" ht="19.5" customHeight="1">
      <c r="A6" s="86" t="s">
        <v>173</v>
      </c>
      <c r="B6" s="86"/>
      <c r="C6" s="86"/>
      <c r="D6" s="64">
        <v>365</v>
      </c>
      <c r="E6" s="86" t="s">
        <v>174</v>
      </c>
      <c r="F6" s="86"/>
      <c r="G6" s="86"/>
      <c r="H6" s="70">
        <f>'全部流量表'!L25</f>
        <v>1077.5301538588533</v>
      </c>
      <c r="I6" t="s">
        <v>175</v>
      </c>
      <c r="J6" s="64">
        <v>100</v>
      </c>
    </row>
    <row r="7" spans="1:10" ht="19.5" customHeight="1">
      <c r="A7" s="86" t="s">
        <v>176</v>
      </c>
      <c r="B7" s="86"/>
      <c r="C7" s="86"/>
      <c r="D7" s="64">
        <v>365</v>
      </c>
      <c r="E7" s="86" t="s">
        <v>177</v>
      </c>
      <c r="F7" s="86"/>
      <c r="G7" s="86"/>
      <c r="H7" s="70">
        <f>'全部流量表'!F25</f>
        <v>456.2856905981132</v>
      </c>
      <c r="I7" t="s">
        <v>178</v>
      </c>
      <c r="J7" s="64">
        <v>100</v>
      </c>
    </row>
    <row r="8" spans="1:10" ht="19.5" customHeight="1">
      <c r="A8" s="86" t="s">
        <v>179</v>
      </c>
      <c r="B8" s="86"/>
      <c r="C8" s="86"/>
      <c r="D8" s="71">
        <v>1.4</v>
      </c>
      <c r="E8" s="86" t="s">
        <v>53</v>
      </c>
      <c r="F8" s="86"/>
      <c r="G8" s="86"/>
      <c r="H8" s="64">
        <f>'成本表'!G22</f>
        <v>189.05886999999998</v>
      </c>
      <c r="I8" t="s">
        <v>180</v>
      </c>
      <c r="J8" s="64">
        <v>100</v>
      </c>
    </row>
    <row r="9" spans="1:10" ht="19.5" customHeight="1">
      <c r="A9" s="86" t="s">
        <v>55</v>
      </c>
      <c r="B9" s="86"/>
      <c r="C9" s="86"/>
      <c r="D9" s="64">
        <f>'成本表'!G24</f>
        <v>47.264717499999996</v>
      </c>
      <c r="E9" s="86" t="s">
        <v>181</v>
      </c>
      <c r="F9" s="86"/>
      <c r="G9" s="86"/>
      <c r="H9">
        <f>'全部流量表'!N25</f>
        <v>11.57</v>
      </c>
      <c r="I9" t="s">
        <v>182</v>
      </c>
      <c r="J9" s="64">
        <v>100</v>
      </c>
    </row>
    <row r="10" spans="1:10" ht="19.5" customHeight="1">
      <c r="A10" s="86" t="s">
        <v>183</v>
      </c>
      <c r="B10" s="86"/>
      <c r="C10" s="86"/>
      <c r="D10" s="64">
        <f>D9*0.7*0.06531</f>
        <v>2.1608010899475003</v>
      </c>
      <c r="E10" s="86" t="s">
        <v>184</v>
      </c>
      <c r="F10" s="86"/>
      <c r="G10" s="86"/>
      <c r="H10">
        <f>'全部流量表'!O25</f>
        <v>6.19</v>
      </c>
      <c r="I10" t="s">
        <v>185</v>
      </c>
      <c r="J10" s="64">
        <v>100</v>
      </c>
    </row>
    <row r="11" spans="1:10" ht="19.5" customHeight="1">
      <c r="A11" s="86" t="s">
        <v>186</v>
      </c>
      <c r="B11" s="86"/>
      <c r="C11" s="86"/>
      <c r="D11">
        <f>D2-D5</f>
        <v>2230.7</v>
      </c>
      <c r="E11" s="86" t="s">
        <v>187</v>
      </c>
      <c r="F11" s="86"/>
      <c r="G11" s="86"/>
      <c r="H11">
        <f>'全部流量表'!H25</f>
        <v>13.63</v>
      </c>
      <c r="I11" t="s">
        <v>188</v>
      </c>
      <c r="J11" s="64">
        <v>100</v>
      </c>
    </row>
    <row r="12" spans="1:10" ht="19.5" customHeight="1">
      <c r="A12" s="86" t="s">
        <v>189</v>
      </c>
      <c r="B12" s="86"/>
      <c r="C12" s="86"/>
      <c r="D12" s="71">
        <f>D11-D11*0.044*20</f>
        <v>267.68399999999997</v>
      </c>
      <c r="E12" s="86" t="s">
        <v>190</v>
      </c>
      <c r="F12" s="86"/>
      <c r="G12" s="86"/>
      <c r="H12">
        <f>'全部流量表'!I25</f>
        <v>7.87</v>
      </c>
      <c r="J12" s="64"/>
    </row>
    <row r="13" spans="1:8" ht="19.5" customHeight="1">
      <c r="A13" s="86" t="s">
        <v>191</v>
      </c>
      <c r="B13" s="86"/>
      <c r="C13" s="86"/>
      <c r="D13">
        <v>1250</v>
      </c>
      <c r="E13" s="86" t="s">
        <v>74</v>
      </c>
      <c r="F13" s="86"/>
      <c r="G13" s="86"/>
      <c r="H13" s="56">
        <f>'损益表'!I23</f>
        <v>0.060896617810248105</v>
      </c>
    </row>
    <row r="14" spans="1:8" ht="19.5" customHeight="1">
      <c r="A14" s="86" t="s">
        <v>192</v>
      </c>
      <c r="B14" s="86"/>
      <c r="C14" s="86"/>
      <c r="D14">
        <v>1253.73</v>
      </c>
      <c r="E14" s="86" t="s">
        <v>75</v>
      </c>
      <c r="F14" s="86"/>
      <c r="G14" s="86"/>
      <c r="H14" s="56">
        <f>'损益表'!M23</f>
        <v>0.08306727518943836</v>
      </c>
    </row>
    <row r="15" spans="1:8" ht="19.5" customHeight="1">
      <c r="A15" s="86" t="s">
        <v>193</v>
      </c>
      <c r="B15" s="86"/>
      <c r="C15" s="86"/>
      <c r="E15" s="86" t="s">
        <v>194</v>
      </c>
      <c r="F15" s="86"/>
      <c r="G15" s="86"/>
      <c r="H15" s="39">
        <f>'成本表'!AC20/20/('损益表'!AA5/20-'成本表'!AC21/20-'损益表'!AA6/20)</f>
        <v>0.5789668121569522</v>
      </c>
    </row>
    <row r="16" spans="1:8" ht="19.5" customHeight="1">
      <c r="A16" s="86" t="s">
        <v>195</v>
      </c>
      <c r="B16" s="86"/>
      <c r="C16" s="86"/>
      <c r="E16" s="86" t="s">
        <v>92</v>
      </c>
      <c r="F16" s="86"/>
      <c r="G16" s="86"/>
      <c r="H16">
        <f>'贷款表'!J25</f>
        <v>7.18</v>
      </c>
    </row>
    <row r="17" spans="1:9" ht="19.5" customHeight="1">
      <c r="A17" s="86" t="s">
        <v>196</v>
      </c>
      <c r="B17" s="86"/>
      <c r="C17" s="86"/>
      <c r="E17" s="86"/>
      <c r="F17" s="86"/>
      <c r="G17" s="86"/>
      <c r="H17" t="s">
        <v>33</v>
      </c>
      <c r="I17" t="s">
        <v>34</v>
      </c>
    </row>
    <row r="18" spans="1:9" ht="19.5" customHeight="1">
      <c r="A18" s="86" t="s">
        <v>197</v>
      </c>
      <c r="B18" s="86"/>
      <c r="C18" s="86"/>
      <c r="E18" s="86" t="s">
        <v>36</v>
      </c>
      <c r="F18" s="86"/>
      <c r="G18" s="86"/>
      <c r="H18">
        <v>0.012</v>
      </c>
      <c r="I18">
        <v>800</v>
      </c>
    </row>
    <row r="19" spans="1:9" ht="19.5" customHeight="1">
      <c r="A19" s="86" t="s">
        <v>198</v>
      </c>
      <c r="B19" s="86"/>
      <c r="C19" s="86"/>
      <c r="E19" s="86" t="s">
        <v>38</v>
      </c>
      <c r="F19" s="86"/>
      <c r="G19" s="86"/>
      <c r="H19">
        <v>0.6</v>
      </c>
      <c r="I19">
        <v>114.1</v>
      </c>
    </row>
    <row r="20" spans="1:9" ht="19.5" customHeight="1">
      <c r="A20" s="86" t="s">
        <v>199</v>
      </c>
      <c r="B20" s="86"/>
      <c r="C20" s="86"/>
      <c r="E20" s="86" t="s">
        <v>40</v>
      </c>
      <c r="F20" s="86"/>
      <c r="G20" s="86"/>
      <c r="H20">
        <v>0.24</v>
      </c>
      <c r="I20">
        <v>54.75</v>
      </c>
    </row>
    <row r="21" spans="1:7" ht="19.5" customHeight="1">
      <c r="A21" s="86" t="s">
        <v>49</v>
      </c>
      <c r="B21" s="86"/>
      <c r="C21" s="86"/>
      <c r="D21">
        <v>0.0589</v>
      </c>
      <c r="E21" s="86"/>
      <c r="F21" s="86"/>
      <c r="G21" s="86"/>
    </row>
    <row r="22" spans="5:9" ht="19.5" customHeight="1">
      <c r="E22" s="86" t="s">
        <v>42</v>
      </c>
      <c r="F22" s="86"/>
      <c r="G22" s="86"/>
      <c r="H22">
        <v>0.72</v>
      </c>
      <c r="I22">
        <v>16</v>
      </c>
    </row>
    <row r="23" spans="5:8" ht="19.5" customHeight="1">
      <c r="E23" s="86" t="s">
        <v>200</v>
      </c>
      <c r="F23" s="86"/>
      <c r="G23" s="86"/>
      <c r="H23" s="72">
        <f>'贷款表'!C13+'贷款表'!D13</f>
        <v>0</v>
      </c>
    </row>
  </sheetData>
  <mergeCells count="43">
    <mergeCell ref="E14:G14"/>
    <mergeCell ref="E15:G15"/>
    <mergeCell ref="E18:G18"/>
    <mergeCell ref="E23:G23"/>
    <mergeCell ref="E22:G22"/>
    <mergeCell ref="E19:G19"/>
    <mergeCell ref="E20:G20"/>
    <mergeCell ref="E21:G21"/>
    <mergeCell ref="A20:C20"/>
    <mergeCell ref="A18:C18"/>
    <mergeCell ref="A19:C19"/>
    <mergeCell ref="A21:C21"/>
    <mergeCell ref="A1:C1"/>
    <mergeCell ref="E11:G11"/>
    <mergeCell ref="E16:G16"/>
    <mergeCell ref="E17:G17"/>
    <mergeCell ref="A13:C13"/>
    <mergeCell ref="A10:C10"/>
    <mergeCell ref="A11:C11"/>
    <mergeCell ref="A12:C12"/>
    <mergeCell ref="A6:C6"/>
    <mergeCell ref="E2:G2"/>
    <mergeCell ref="E7:G7"/>
    <mergeCell ref="E8:G8"/>
    <mergeCell ref="E13:G13"/>
    <mergeCell ref="E9:G9"/>
    <mergeCell ref="E10:G10"/>
    <mergeCell ref="E12:G12"/>
    <mergeCell ref="E4:G4"/>
    <mergeCell ref="E5:G5"/>
    <mergeCell ref="E6:G6"/>
    <mergeCell ref="E3:G3"/>
    <mergeCell ref="A14:C14"/>
    <mergeCell ref="A17:C17"/>
    <mergeCell ref="A15:C15"/>
    <mergeCell ref="A16:C16"/>
    <mergeCell ref="A7:C7"/>
    <mergeCell ref="A8:C8"/>
    <mergeCell ref="A9:C9"/>
    <mergeCell ref="A2:C2"/>
    <mergeCell ref="A3:C3"/>
    <mergeCell ref="A4:C4"/>
    <mergeCell ref="A5:C5"/>
  </mergeCells>
  <printOptions/>
  <pageMargins left="0.7479166666666667" right="0.7479166666666667" top="0.7868055555555555" bottom="0.7868055555555555" header="0.5118055555555556" footer="0.5118055555555556"/>
  <pageSetup errors="NA" firstPageNumber="1" useFirstPageNumber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5"/>
  <sheetViews>
    <sheetView zoomScale="75" zoomScaleNormal="75" workbookViewId="0" topLeftCell="A5">
      <selection activeCell="E18" sqref="E18"/>
    </sheetView>
  </sheetViews>
  <sheetFormatPr defaultColWidth="9.00390625" defaultRowHeight="14.25"/>
  <cols>
    <col min="1" max="1" width="16.625" style="0" customWidth="1"/>
    <col min="2" max="29" width="7.625" style="0" customWidth="1"/>
    <col min="30" max="30" width="7.875" style="0" customWidth="1"/>
  </cols>
  <sheetData>
    <row r="2" spans="3:26" ht="51" customHeight="1">
      <c r="C2" s="18"/>
      <c r="D2" s="84" t="s">
        <v>30</v>
      </c>
      <c r="E2" s="85"/>
      <c r="F2" s="85"/>
      <c r="G2" s="85"/>
      <c r="H2" s="85"/>
      <c r="I2" s="85"/>
      <c r="J2" s="85"/>
      <c r="K2" s="85"/>
      <c r="L2" s="18"/>
      <c r="M2" s="18"/>
      <c r="N2" s="18"/>
      <c r="O2" s="18"/>
      <c r="P2" s="18"/>
      <c r="Q2" s="18"/>
      <c r="R2" s="84" t="s">
        <v>30</v>
      </c>
      <c r="S2" s="85"/>
      <c r="T2" s="85"/>
      <c r="U2" s="85"/>
      <c r="V2" s="85"/>
      <c r="W2" s="85"/>
      <c r="X2" s="85"/>
      <c r="Y2" s="85"/>
      <c r="Z2" s="18"/>
    </row>
    <row r="3" ht="10.5" customHeight="1"/>
    <row r="4" spans="1:29" ht="25.5" customHeight="1">
      <c r="A4" s="20" t="s">
        <v>31</v>
      </c>
      <c r="B4" s="20" t="s">
        <v>32</v>
      </c>
      <c r="C4" s="20" t="s">
        <v>33</v>
      </c>
      <c r="D4" s="20" t="s">
        <v>34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  <c r="M4" s="20">
        <v>9</v>
      </c>
      <c r="N4" s="20">
        <v>10</v>
      </c>
      <c r="O4" s="20">
        <v>11</v>
      </c>
      <c r="P4" s="20">
        <v>12</v>
      </c>
      <c r="Q4" s="20">
        <v>13</v>
      </c>
      <c r="R4" s="20">
        <v>14</v>
      </c>
      <c r="S4" s="20">
        <v>15</v>
      </c>
      <c r="T4" s="20">
        <v>16</v>
      </c>
      <c r="U4" s="20">
        <v>17</v>
      </c>
      <c r="V4" s="20">
        <v>18</v>
      </c>
      <c r="W4" s="20">
        <v>19</v>
      </c>
      <c r="X4" s="20">
        <v>20</v>
      </c>
      <c r="Y4" s="20">
        <v>21</v>
      </c>
      <c r="Z4" s="20">
        <v>22</v>
      </c>
      <c r="AA4" s="20">
        <v>23</v>
      </c>
      <c r="AB4" s="20">
        <v>24</v>
      </c>
      <c r="AC4" s="20" t="s">
        <v>29</v>
      </c>
    </row>
    <row r="5" spans="1:30" ht="18" customHeight="1">
      <c r="A5" s="21" t="s">
        <v>35</v>
      </c>
      <c r="B5" s="22"/>
      <c r="C5" s="23"/>
      <c r="D5" s="23"/>
      <c r="E5" s="23"/>
      <c r="F5" s="23"/>
      <c r="G5" s="24">
        <f>'数据表'!J2</f>
        <v>100</v>
      </c>
      <c r="H5" s="24">
        <f>'数据表'!J3</f>
        <v>100</v>
      </c>
      <c r="I5" s="24">
        <f>'数据表'!J4</f>
        <v>100</v>
      </c>
      <c r="J5" s="24">
        <f>'数据表'!J5</f>
        <v>100</v>
      </c>
      <c r="K5" s="24">
        <f>'数据表'!J6</f>
        <v>100</v>
      </c>
      <c r="L5" s="24">
        <f>'数据表'!J7</f>
        <v>100</v>
      </c>
      <c r="M5" s="24">
        <f>'数据表'!J8</f>
        <v>100</v>
      </c>
      <c r="N5" s="24">
        <f>'数据表'!J9</f>
        <v>100</v>
      </c>
      <c r="O5" s="24">
        <f>'数据表'!J10</f>
        <v>100</v>
      </c>
      <c r="P5" s="24">
        <f>'数据表'!J11</f>
        <v>100</v>
      </c>
      <c r="Q5" s="24">
        <v>100</v>
      </c>
      <c r="R5" s="24">
        <v>100</v>
      </c>
      <c r="S5" s="24">
        <v>100</v>
      </c>
      <c r="T5" s="24">
        <v>100</v>
      </c>
      <c r="U5" s="24">
        <v>100</v>
      </c>
      <c r="V5" s="24">
        <v>100</v>
      </c>
      <c r="W5" s="24">
        <v>100</v>
      </c>
      <c r="X5" s="24">
        <v>100</v>
      </c>
      <c r="Y5" s="24">
        <v>100</v>
      </c>
      <c r="Z5" s="24">
        <v>100</v>
      </c>
      <c r="AA5" s="24"/>
      <c r="AB5" s="24"/>
      <c r="AC5" s="23"/>
      <c r="AD5" s="25"/>
    </row>
    <row r="6" spans="1:30" ht="18" customHeight="1">
      <c r="A6" s="21" t="s">
        <v>36</v>
      </c>
      <c r="B6" s="21" t="s">
        <v>37</v>
      </c>
      <c r="C6" s="23">
        <f>'数据表'!H18</f>
        <v>0.012</v>
      </c>
      <c r="D6" s="24">
        <f>'数据表'!I18</f>
        <v>800</v>
      </c>
      <c r="E6" s="23"/>
      <c r="F6" s="23"/>
      <c r="G6" s="24">
        <f>C6*D6</f>
        <v>9.6</v>
      </c>
      <c r="H6" s="24">
        <f aca="true" t="shared" si="0" ref="H6:Z6">G6</f>
        <v>9.6</v>
      </c>
      <c r="I6" s="24">
        <f t="shared" si="0"/>
        <v>9.6</v>
      </c>
      <c r="J6" s="24">
        <f t="shared" si="0"/>
        <v>9.6</v>
      </c>
      <c r="K6" s="24">
        <f t="shared" si="0"/>
        <v>9.6</v>
      </c>
      <c r="L6" s="24">
        <f t="shared" si="0"/>
        <v>9.6</v>
      </c>
      <c r="M6" s="24">
        <f t="shared" si="0"/>
        <v>9.6</v>
      </c>
      <c r="N6" s="24">
        <f t="shared" si="0"/>
        <v>9.6</v>
      </c>
      <c r="O6" s="24">
        <f t="shared" si="0"/>
        <v>9.6</v>
      </c>
      <c r="P6" s="24">
        <f t="shared" si="0"/>
        <v>9.6</v>
      </c>
      <c r="Q6" s="24">
        <f t="shared" si="0"/>
        <v>9.6</v>
      </c>
      <c r="R6" s="24">
        <f t="shared" si="0"/>
        <v>9.6</v>
      </c>
      <c r="S6" s="24">
        <f t="shared" si="0"/>
        <v>9.6</v>
      </c>
      <c r="T6" s="24">
        <f t="shared" si="0"/>
        <v>9.6</v>
      </c>
      <c r="U6" s="24">
        <f t="shared" si="0"/>
        <v>9.6</v>
      </c>
      <c r="V6" s="24">
        <f t="shared" si="0"/>
        <v>9.6</v>
      </c>
      <c r="W6" s="24">
        <f t="shared" si="0"/>
        <v>9.6</v>
      </c>
      <c r="X6" s="24">
        <f t="shared" si="0"/>
        <v>9.6</v>
      </c>
      <c r="Y6" s="24">
        <f t="shared" si="0"/>
        <v>9.6</v>
      </c>
      <c r="Z6" s="24">
        <f t="shared" si="0"/>
        <v>9.6</v>
      </c>
      <c r="AA6" s="24"/>
      <c r="AB6" s="23"/>
      <c r="AC6" s="24">
        <f>SUM(G6:AB6)</f>
        <v>191.99999999999994</v>
      </c>
      <c r="AD6" s="25"/>
    </row>
    <row r="7" spans="1:30" ht="18" customHeight="1">
      <c r="A7" s="21" t="s">
        <v>38</v>
      </c>
      <c r="B7" s="21" t="s">
        <v>39</v>
      </c>
      <c r="C7" s="23">
        <f>'数据表'!H19</f>
        <v>0.6</v>
      </c>
      <c r="D7" s="24">
        <f>'数据表'!I19</f>
        <v>114.1</v>
      </c>
      <c r="E7" s="23"/>
      <c r="F7" s="23"/>
      <c r="G7" s="24">
        <f>C7*D7*G5/100</f>
        <v>68.46</v>
      </c>
      <c r="H7" s="24">
        <f>C7*D7*H5/100</f>
        <v>68.46</v>
      </c>
      <c r="I7" s="24">
        <f>C7*D7*I5/100</f>
        <v>68.46</v>
      </c>
      <c r="J7" s="24">
        <f>C7*D7*J5/100</f>
        <v>68.46</v>
      </c>
      <c r="K7" s="24">
        <f>C7*D7*K5/100</f>
        <v>68.46</v>
      </c>
      <c r="L7" s="24">
        <f>C7*D7*L5/100</f>
        <v>68.46</v>
      </c>
      <c r="M7" s="24">
        <f>C7*D7*M5/100</f>
        <v>68.46</v>
      </c>
      <c r="N7" s="24">
        <f>C7*D7*N5/100</f>
        <v>68.46</v>
      </c>
      <c r="O7" s="24">
        <f>C7*D7*O5/100</f>
        <v>68.46</v>
      </c>
      <c r="P7" s="24">
        <f>C7*D7*P5/100</f>
        <v>68.46</v>
      </c>
      <c r="Q7" s="24">
        <f aca="true" t="shared" si="1" ref="Q7:Z7">P7</f>
        <v>68.46</v>
      </c>
      <c r="R7" s="24">
        <f t="shared" si="1"/>
        <v>68.46</v>
      </c>
      <c r="S7" s="24">
        <f t="shared" si="1"/>
        <v>68.46</v>
      </c>
      <c r="T7" s="24">
        <f t="shared" si="1"/>
        <v>68.46</v>
      </c>
      <c r="U7" s="24">
        <f t="shared" si="1"/>
        <v>68.46</v>
      </c>
      <c r="V7" s="24">
        <f t="shared" si="1"/>
        <v>68.46</v>
      </c>
      <c r="W7" s="24">
        <f t="shared" si="1"/>
        <v>68.46</v>
      </c>
      <c r="X7" s="24">
        <f t="shared" si="1"/>
        <v>68.46</v>
      </c>
      <c r="Y7" s="24">
        <f t="shared" si="1"/>
        <v>68.46</v>
      </c>
      <c r="Z7" s="24">
        <f t="shared" si="1"/>
        <v>68.46</v>
      </c>
      <c r="AA7" s="24"/>
      <c r="AB7" s="24"/>
      <c r="AC7" s="24">
        <f>SUM(G7:AB7)</f>
        <v>1369.2000000000003</v>
      </c>
      <c r="AD7" s="25"/>
    </row>
    <row r="8" spans="1:30" ht="18" customHeight="1">
      <c r="A8" s="21" t="s">
        <v>40</v>
      </c>
      <c r="B8" s="21" t="s">
        <v>41</v>
      </c>
      <c r="C8" s="23">
        <f>'数据表'!H20</f>
        <v>0.24</v>
      </c>
      <c r="D8" s="24">
        <f>'数据表'!I20</f>
        <v>54.75</v>
      </c>
      <c r="E8" s="23"/>
      <c r="F8" s="23"/>
      <c r="G8" s="24">
        <f>C8*D8*G5/100</f>
        <v>13.139999999999997</v>
      </c>
      <c r="H8" s="24">
        <f>C8*D8*H5/100</f>
        <v>13.139999999999997</v>
      </c>
      <c r="I8" s="24">
        <f>C8*D8*I5/100</f>
        <v>13.139999999999997</v>
      </c>
      <c r="J8" s="24">
        <f>C8*D8*J5/100</f>
        <v>13.139999999999997</v>
      </c>
      <c r="K8" s="24">
        <f>C8*D8*K5/100</f>
        <v>13.139999999999997</v>
      </c>
      <c r="L8" s="24">
        <f>C8*D8*L5/100</f>
        <v>13.139999999999997</v>
      </c>
      <c r="M8" s="24">
        <f>C8*D8*M5/100</f>
        <v>13.139999999999997</v>
      </c>
      <c r="N8" s="24">
        <f>C8*D8*N5/100</f>
        <v>13.139999999999997</v>
      </c>
      <c r="O8" s="24">
        <f>C8*D8*O5/100</f>
        <v>13.139999999999997</v>
      </c>
      <c r="P8" s="24">
        <f>C8*D8*P5/100</f>
        <v>13.139999999999997</v>
      </c>
      <c r="Q8" s="24">
        <f aca="true" t="shared" si="2" ref="Q8:Z8">P8</f>
        <v>13.139999999999997</v>
      </c>
      <c r="R8" s="24">
        <f t="shared" si="2"/>
        <v>13.139999999999997</v>
      </c>
      <c r="S8" s="24">
        <f t="shared" si="2"/>
        <v>13.139999999999997</v>
      </c>
      <c r="T8" s="24">
        <f t="shared" si="2"/>
        <v>13.139999999999997</v>
      </c>
      <c r="U8" s="24">
        <f t="shared" si="2"/>
        <v>13.139999999999997</v>
      </c>
      <c r="V8" s="24">
        <f t="shared" si="2"/>
        <v>13.139999999999997</v>
      </c>
      <c r="W8" s="24">
        <f t="shared" si="2"/>
        <v>13.139999999999997</v>
      </c>
      <c r="X8" s="24">
        <f t="shared" si="2"/>
        <v>13.139999999999997</v>
      </c>
      <c r="Y8" s="24">
        <f t="shared" si="2"/>
        <v>13.139999999999997</v>
      </c>
      <c r="Z8" s="24">
        <f t="shared" si="2"/>
        <v>13.139999999999997</v>
      </c>
      <c r="AA8" s="24"/>
      <c r="AB8" s="23"/>
      <c r="AC8" s="24">
        <f>SUM(G8:AB8)</f>
        <v>262.79999999999984</v>
      </c>
      <c r="AD8" s="25"/>
    </row>
    <row r="9" spans="1:30" ht="18" customHeight="1">
      <c r="A9" s="21"/>
      <c r="B9" s="21"/>
      <c r="C9" s="23"/>
      <c r="D9" s="24"/>
      <c r="E9" s="23"/>
      <c r="F9" s="23"/>
      <c r="G9" s="24">
        <f>C9*D9*G5/100</f>
        <v>0</v>
      </c>
      <c r="H9" s="24">
        <f>C9*D9*H5/100</f>
        <v>0</v>
      </c>
      <c r="I9" s="24">
        <f>C9*D9*I5/100</f>
        <v>0</v>
      </c>
      <c r="J9" s="24">
        <f>C9*D9*J5/100</f>
        <v>0</v>
      </c>
      <c r="K9" s="24">
        <f>C9*D9*K5/100</f>
        <v>0</v>
      </c>
      <c r="L9" s="24">
        <f>C9*D9*L5/100</f>
        <v>0</v>
      </c>
      <c r="M9" s="24">
        <f>C9*D9*M5/100</f>
        <v>0</v>
      </c>
      <c r="N9" s="24">
        <f>C9*D9*N5/100</f>
        <v>0</v>
      </c>
      <c r="O9" s="24">
        <f>C9*D9*O5/100</f>
        <v>0</v>
      </c>
      <c r="P9" s="24">
        <f>C9*D9*P5/100</f>
        <v>0</v>
      </c>
      <c r="Q9" s="24">
        <f aca="true" t="shared" si="3" ref="Q9:Z9">P9</f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0</v>
      </c>
      <c r="Y9" s="24">
        <f t="shared" si="3"/>
        <v>0</v>
      </c>
      <c r="Z9" s="24">
        <f t="shared" si="3"/>
        <v>0</v>
      </c>
      <c r="AA9" s="24"/>
      <c r="AB9" s="23"/>
      <c r="AC9" s="26">
        <f>SUM(G9:AB9)</f>
        <v>0</v>
      </c>
      <c r="AD9" s="25"/>
    </row>
    <row r="10" spans="1:30" ht="18" customHeight="1">
      <c r="A10" s="21"/>
      <c r="B10" s="21"/>
      <c r="C10" s="23"/>
      <c r="D10" s="24"/>
      <c r="E10" s="23"/>
      <c r="F10" s="23"/>
      <c r="G10" s="23">
        <f>C10*D10</f>
        <v>0</v>
      </c>
      <c r="H10" s="23">
        <f aca="true" t="shared" si="4" ref="H10:P10">G10</f>
        <v>0</v>
      </c>
      <c r="I10" s="23">
        <f t="shared" si="4"/>
        <v>0</v>
      </c>
      <c r="J10" s="23">
        <f t="shared" si="4"/>
        <v>0</v>
      </c>
      <c r="K10" s="23">
        <f t="shared" si="4"/>
        <v>0</v>
      </c>
      <c r="L10" s="23">
        <f t="shared" si="4"/>
        <v>0</v>
      </c>
      <c r="M10" s="23">
        <f t="shared" si="4"/>
        <v>0</v>
      </c>
      <c r="N10" s="23">
        <f t="shared" si="4"/>
        <v>0</v>
      </c>
      <c r="O10" s="23">
        <f t="shared" si="4"/>
        <v>0</v>
      </c>
      <c r="P10" s="23">
        <f t="shared" si="4"/>
        <v>0</v>
      </c>
      <c r="Q10" s="23">
        <f aca="true" t="shared" si="5" ref="Q10:Z10">P10</f>
        <v>0</v>
      </c>
      <c r="R10" s="23">
        <f t="shared" si="5"/>
        <v>0</v>
      </c>
      <c r="S10" s="23">
        <f t="shared" si="5"/>
        <v>0</v>
      </c>
      <c r="T10" s="23">
        <f t="shared" si="5"/>
        <v>0</v>
      </c>
      <c r="U10" s="23">
        <f t="shared" si="5"/>
        <v>0</v>
      </c>
      <c r="V10" s="23">
        <f t="shared" si="5"/>
        <v>0</v>
      </c>
      <c r="W10" s="23">
        <f t="shared" si="5"/>
        <v>0</v>
      </c>
      <c r="X10" s="23">
        <f t="shared" si="5"/>
        <v>0</v>
      </c>
      <c r="Y10" s="23">
        <f t="shared" si="5"/>
        <v>0</v>
      </c>
      <c r="Z10" s="23">
        <f t="shared" si="5"/>
        <v>0</v>
      </c>
      <c r="AA10" s="23"/>
      <c r="AB10" s="23"/>
      <c r="AC10" s="24">
        <f>SUM(G10:AB10)</f>
        <v>0</v>
      </c>
      <c r="AD10" s="25"/>
    </row>
    <row r="11" spans="1:30" ht="18" customHeight="1">
      <c r="A11" s="21"/>
      <c r="B11" s="21"/>
      <c r="C11" s="23"/>
      <c r="D11" s="24"/>
      <c r="E11" s="23"/>
      <c r="F11" s="23"/>
      <c r="G11" s="23">
        <f>C11*D11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>
        <v>0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4"/>
      <c r="AD11" s="25"/>
    </row>
    <row r="12" spans="1:30" ht="18" customHeight="1">
      <c r="A12" s="21" t="s">
        <v>42</v>
      </c>
      <c r="B12" s="21" t="s">
        <v>43</v>
      </c>
      <c r="C12" s="23">
        <f>'数据表'!H22</f>
        <v>0.72</v>
      </c>
      <c r="D12" s="24">
        <f>'数据表'!I22</f>
        <v>16</v>
      </c>
      <c r="E12" s="23"/>
      <c r="F12" s="23"/>
      <c r="G12" s="24">
        <f>C12*D12</f>
        <v>11.52</v>
      </c>
      <c r="H12" s="24">
        <f aca="true" t="shared" si="6" ref="H12:Z12">G12</f>
        <v>11.52</v>
      </c>
      <c r="I12" s="24">
        <f t="shared" si="6"/>
        <v>11.52</v>
      </c>
      <c r="J12" s="24">
        <f t="shared" si="6"/>
        <v>11.52</v>
      </c>
      <c r="K12" s="24">
        <f t="shared" si="6"/>
        <v>11.52</v>
      </c>
      <c r="L12" s="24">
        <f t="shared" si="6"/>
        <v>11.52</v>
      </c>
      <c r="M12" s="24">
        <f t="shared" si="6"/>
        <v>11.52</v>
      </c>
      <c r="N12" s="24">
        <f t="shared" si="6"/>
        <v>11.52</v>
      </c>
      <c r="O12" s="24">
        <f t="shared" si="6"/>
        <v>11.52</v>
      </c>
      <c r="P12" s="24">
        <f t="shared" si="6"/>
        <v>11.52</v>
      </c>
      <c r="Q12" s="24">
        <f t="shared" si="6"/>
        <v>11.52</v>
      </c>
      <c r="R12" s="24">
        <f t="shared" si="6"/>
        <v>11.52</v>
      </c>
      <c r="S12" s="24">
        <f t="shared" si="6"/>
        <v>11.52</v>
      </c>
      <c r="T12" s="24">
        <f t="shared" si="6"/>
        <v>11.52</v>
      </c>
      <c r="U12" s="24">
        <f t="shared" si="6"/>
        <v>11.52</v>
      </c>
      <c r="V12" s="24">
        <f t="shared" si="6"/>
        <v>11.52</v>
      </c>
      <c r="W12" s="24">
        <f t="shared" si="6"/>
        <v>11.52</v>
      </c>
      <c r="X12" s="24">
        <f t="shared" si="6"/>
        <v>11.52</v>
      </c>
      <c r="Y12" s="24">
        <f t="shared" si="6"/>
        <v>11.52</v>
      </c>
      <c r="Z12" s="24">
        <f t="shared" si="6"/>
        <v>11.52</v>
      </c>
      <c r="AA12" s="24"/>
      <c r="AB12" s="23"/>
      <c r="AC12" s="24">
        <f>SUM(G12:AB12)</f>
        <v>230.40000000000006</v>
      </c>
      <c r="AD12" s="25"/>
    </row>
    <row r="13" spans="1:30" ht="18" customHeight="1">
      <c r="A13" s="21" t="s">
        <v>44</v>
      </c>
      <c r="B13" s="21"/>
      <c r="C13" s="23"/>
      <c r="D13" s="23"/>
      <c r="E13" s="23"/>
      <c r="F13" s="23"/>
      <c r="G13" s="24">
        <f>'数据表'!D11*0.044</f>
        <v>98.15079999999999</v>
      </c>
      <c r="H13" s="24">
        <f aca="true" t="shared" si="7" ref="H13:Z13">G13</f>
        <v>98.15079999999999</v>
      </c>
      <c r="I13" s="24">
        <f t="shared" si="7"/>
        <v>98.15079999999999</v>
      </c>
      <c r="J13" s="24">
        <f t="shared" si="7"/>
        <v>98.15079999999999</v>
      </c>
      <c r="K13" s="24">
        <f t="shared" si="7"/>
        <v>98.15079999999999</v>
      </c>
      <c r="L13" s="24">
        <f t="shared" si="7"/>
        <v>98.15079999999999</v>
      </c>
      <c r="M13" s="24">
        <f t="shared" si="7"/>
        <v>98.15079999999999</v>
      </c>
      <c r="N13" s="24">
        <f t="shared" si="7"/>
        <v>98.15079999999999</v>
      </c>
      <c r="O13" s="24">
        <f t="shared" si="7"/>
        <v>98.15079999999999</v>
      </c>
      <c r="P13" s="24">
        <f t="shared" si="7"/>
        <v>98.15079999999999</v>
      </c>
      <c r="Q13" s="24">
        <f t="shared" si="7"/>
        <v>98.15079999999999</v>
      </c>
      <c r="R13" s="24">
        <f t="shared" si="7"/>
        <v>98.15079999999999</v>
      </c>
      <c r="S13" s="24">
        <f t="shared" si="7"/>
        <v>98.15079999999999</v>
      </c>
      <c r="T13" s="24">
        <f t="shared" si="7"/>
        <v>98.15079999999999</v>
      </c>
      <c r="U13" s="24">
        <f t="shared" si="7"/>
        <v>98.15079999999999</v>
      </c>
      <c r="V13" s="24">
        <f t="shared" si="7"/>
        <v>98.15079999999999</v>
      </c>
      <c r="W13" s="24">
        <f t="shared" si="7"/>
        <v>98.15079999999999</v>
      </c>
      <c r="X13" s="24">
        <f t="shared" si="7"/>
        <v>98.15079999999999</v>
      </c>
      <c r="Y13" s="24">
        <f t="shared" si="7"/>
        <v>98.15079999999999</v>
      </c>
      <c r="Z13" s="24">
        <f t="shared" si="7"/>
        <v>98.15079999999999</v>
      </c>
      <c r="AA13" s="24"/>
      <c r="AB13" s="23"/>
      <c r="AC13" s="26">
        <f>SUM(G13:AB13)</f>
        <v>1963.015999999999</v>
      </c>
      <c r="AD13" s="25"/>
    </row>
    <row r="14" spans="1:30" ht="18" customHeight="1">
      <c r="A14" s="21" t="s">
        <v>45</v>
      </c>
      <c r="B14" s="21"/>
      <c r="C14" s="23"/>
      <c r="D14" s="23"/>
      <c r="E14" s="23"/>
      <c r="F14" s="23"/>
      <c r="G14" s="24">
        <f>'数据表'!D11*0.022</f>
        <v>49.075399999999995</v>
      </c>
      <c r="H14" s="24">
        <f aca="true" t="shared" si="8" ref="H14:Z14">G14</f>
        <v>49.075399999999995</v>
      </c>
      <c r="I14" s="24">
        <f t="shared" si="8"/>
        <v>49.075399999999995</v>
      </c>
      <c r="J14" s="24">
        <f t="shared" si="8"/>
        <v>49.075399999999995</v>
      </c>
      <c r="K14" s="24">
        <f t="shared" si="8"/>
        <v>49.075399999999995</v>
      </c>
      <c r="L14" s="24">
        <f t="shared" si="8"/>
        <v>49.075399999999995</v>
      </c>
      <c r="M14" s="24">
        <f t="shared" si="8"/>
        <v>49.075399999999995</v>
      </c>
      <c r="N14" s="24">
        <f t="shared" si="8"/>
        <v>49.075399999999995</v>
      </c>
      <c r="O14" s="24">
        <f t="shared" si="8"/>
        <v>49.075399999999995</v>
      </c>
      <c r="P14" s="24">
        <f t="shared" si="8"/>
        <v>49.075399999999995</v>
      </c>
      <c r="Q14" s="24">
        <f t="shared" si="8"/>
        <v>49.075399999999995</v>
      </c>
      <c r="R14" s="24">
        <f t="shared" si="8"/>
        <v>49.075399999999995</v>
      </c>
      <c r="S14" s="24">
        <f t="shared" si="8"/>
        <v>49.075399999999995</v>
      </c>
      <c r="T14" s="24">
        <f t="shared" si="8"/>
        <v>49.075399999999995</v>
      </c>
      <c r="U14" s="24">
        <f t="shared" si="8"/>
        <v>49.075399999999995</v>
      </c>
      <c r="V14" s="24">
        <f t="shared" si="8"/>
        <v>49.075399999999995</v>
      </c>
      <c r="W14" s="24">
        <f t="shared" si="8"/>
        <v>49.075399999999995</v>
      </c>
      <c r="X14" s="24">
        <f t="shared" si="8"/>
        <v>49.075399999999995</v>
      </c>
      <c r="Y14" s="24">
        <f t="shared" si="8"/>
        <v>49.075399999999995</v>
      </c>
      <c r="Z14" s="24">
        <f t="shared" si="8"/>
        <v>49.075399999999995</v>
      </c>
      <c r="AA14" s="24"/>
      <c r="AB14" s="23"/>
      <c r="AC14" s="24">
        <f>SUM(G14:AB14)</f>
        <v>981.5079999999995</v>
      </c>
      <c r="AD14" s="25"/>
    </row>
    <row r="15" spans="1:30" ht="18" customHeight="1">
      <c r="A15" s="21" t="s">
        <v>46</v>
      </c>
      <c r="B15" s="21"/>
      <c r="C15" s="23"/>
      <c r="D15" s="23"/>
      <c r="E15" s="23"/>
      <c r="F15" s="23"/>
      <c r="G15" s="24">
        <f>'数据表'!D5*0.1</f>
        <v>27.302999999999997</v>
      </c>
      <c r="H15" s="24">
        <f aca="true" t="shared" si="9" ref="H15:P15">G15</f>
        <v>27.302999999999997</v>
      </c>
      <c r="I15" s="24">
        <f t="shared" si="9"/>
        <v>27.302999999999997</v>
      </c>
      <c r="J15" s="24">
        <f t="shared" si="9"/>
        <v>27.302999999999997</v>
      </c>
      <c r="K15" s="24">
        <f t="shared" si="9"/>
        <v>27.302999999999997</v>
      </c>
      <c r="L15" s="24">
        <f t="shared" si="9"/>
        <v>27.302999999999997</v>
      </c>
      <c r="M15" s="24">
        <f t="shared" si="9"/>
        <v>27.302999999999997</v>
      </c>
      <c r="N15" s="24">
        <f t="shared" si="9"/>
        <v>27.302999999999997</v>
      </c>
      <c r="O15" s="24">
        <f t="shared" si="9"/>
        <v>27.302999999999997</v>
      </c>
      <c r="P15" s="24">
        <f t="shared" si="9"/>
        <v>27.302999999999997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>
        <f>SUM(G15:P15)</f>
        <v>273.03</v>
      </c>
      <c r="AD15" s="25"/>
    </row>
    <row r="16" spans="1:30" ht="18" customHeight="1">
      <c r="A16" s="21" t="s">
        <v>47</v>
      </c>
      <c r="B16" s="22"/>
      <c r="C16" s="23"/>
      <c r="D16" s="23"/>
      <c r="E16" s="23"/>
      <c r="F16" s="23"/>
      <c r="G16" s="24">
        <f>'数据表'!D11*0.005</f>
        <v>11.1535</v>
      </c>
      <c r="H16" s="24">
        <f aca="true" t="shared" si="10" ref="H16:P16">G16</f>
        <v>11.1535</v>
      </c>
      <c r="I16" s="24">
        <f t="shared" si="10"/>
        <v>11.1535</v>
      </c>
      <c r="J16" s="24">
        <f t="shared" si="10"/>
        <v>11.1535</v>
      </c>
      <c r="K16" s="24">
        <f t="shared" si="10"/>
        <v>11.1535</v>
      </c>
      <c r="L16" s="24">
        <f t="shared" si="10"/>
        <v>11.1535</v>
      </c>
      <c r="M16" s="24">
        <f t="shared" si="10"/>
        <v>11.1535</v>
      </c>
      <c r="N16" s="24">
        <f t="shared" si="10"/>
        <v>11.1535</v>
      </c>
      <c r="O16" s="24">
        <f t="shared" si="10"/>
        <v>11.1535</v>
      </c>
      <c r="P16" s="24">
        <f t="shared" si="10"/>
        <v>11.1535</v>
      </c>
      <c r="Q16" s="24">
        <f aca="true" t="shared" si="11" ref="Q16:Z16">P16</f>
        <v>11.1535</v>
      </c>
      <c r="R16" s="24">
        <f t="shared" si="11"/>
        <v>11.1535</v>
      </c>
      <c r="S16" s="24">
        <f t="shared" si="11"/>
        <v>11.1535</v>
      </c>
      <c r="T16" s="24">
        <f t="shared" si="11"/>
        <v>11.1535</v>
      </c>
      <c r="U16" s="24">
        <f t="shared" si="11"/>
        <v>11.1535</v>
      </c>
      <c r="V16" s="24">
        <f t="shared" si="11"/>
        <v>11.1535</v>
      </c>
      <c r="W16" s="24">
        <f t="shared" si="11"/>
        <v>11.1535</v>
      </c>
      <c r="X16" s="24">
        <f t="shared" si="11"/>
        <v>11.1535</v>
      </c>
      <c r="Y16" s="24">
        <f t="shared" si="11"/>
        <v>11.1535</v>
      </c>
      <c r="Z16" s="24">
        <f t="shared" si="11"/>
        <v>11.1535</v>
      </c>
      <c r="AA16" s="24"/>
      <c r="AB16" s="23"/>
      <c r="AC16" s="24">
        <f aca="true" t="shared" si="12" ref="AC16:AC22">SUM(G16:AB16)</f>
        <v>223.07000000000002</v>
      </c>
      <c r="AD16" s="25"/>
    </row>
    <row r="17" spans="1:30" ht="18" customHeight="1">
      <c r="A17" s="21" t="s">
        <v>48</v>
      </c>
      <c r="B17" s="22"/>
      <c r="C17" s="23"/>
      <c r="D17" s="23"/>
      <c r="E17" s="23"/>
      <c r="F17" s="23"/>
      <c r="G17" s="24">
        <f aca="true" t="shared" si="13" ref="G17:Z17">SUM(G6:G14,G16)*0.1</f>
        <v>26.10997</v>
      </c>
      <c r="H17" s="24">
        <f t="shared" si="13"/>
        <v>26.10997</v>
      </c>
      <c r="I17" s="24">
        <f t="shared" si="13"/>
        <v>26.10997</v>
      </c>
      <c r="J17" s="24">
        <f t="shared" si="13"/>
        <v>26.10997</v>
      </c>
      <c r="K17" s="24">
        <f t="shared" si="13"/>
        <v>26.10997</v>
      </c>
      <c r="L17" s="24">
        <f t="shared" si="13"/>
        <v>26.10997</v>
      </c>
      <c r="M17" s="24">
        <f t="shared" si="13"/>
        <v>26.10997</v>
      </c>
      <c r="N17" s="24">
        <f t="shared" si="13"/>
        <v>26.10997</v>
      </c>
      <c r="O17" s="24">
        <f t="shared" si="13"/>
        <v>26.10997</v>
      </c>
      <c r="P17" s="24">
        <f t="shared" si="13"/>
        <v>26.10997</v>
      </c>
      <c r="Q17" s="24">
        <f t="shared" si="13"/>
        <v>26.10997</v>
      </c>
      <c r="R17" s="24">
        <f t="shared" si="13"/>
        <v>26.10997</v>
      </c>
      <c r="S17" s="24">
        <f t="shared" si="13"/>
        <v>26.10997</v>
      </c>
      <c r="T17" s="24">
        <f t="shared" si="13"/>
        <v>26.10997</v>
      </c>
      <c r="U17" s="24">
        <f t="shared" si="13"/>
        <v>26.10997</v>
      </c>
      <c r="V17" s="24">
        <f t="shared" si="13"/>
        <v>26.10997</v>
      </c>
      <c r="W17" s="24">
        <f t="shared" si="13"/>
        <v>26.10997</v>
      </c>
      <c r="X17" s="24">
        <f t="shared" si="13"/>
        <v>26.10997</v>
      </c>
      <c r="Y17" s="24">
        <f t="shared" si="13"/>
        <v>26.10997</v>
      </c>
      <c r="Z17" s="24">
        <f t="shared" si="13"/>
        <v>26.10997</v>
      </c>
      <c r="AA17" s="24"/>
      <c r="AB17" s="23"/>
      <c r="AC17" s="26">
        <f t="shared" si="12"/>
        <v>522.1993999999997</v>
      </c>
      <c r="AD17" s="25"/>
    </row>
    <row r="18" spans="1:30" ht="18" customHeight="1">
      <c r="A18" s="21" t="s">
        <v>49</v>
      </c>
      <c r="B18" s="22"/>
      <c r="C18" s="23"/>
      <c r="D18" s="23"/>
      <c r="E18" s="23"/>
      <c r="F18" s="23"/>
      <c r="G18" s="24">
        <f>'贷款表'!E13+'数据表'!D10</f>
        <v>2.1608010899475003</v>
      </c>
      <c r="H18" s="26">
        <f>'贷款表'!F13+'数据表'!D10</f>
        <v>2.1608010899475003</v>
      </c>
      <c r="I18" s="26">
        <f>'贷款表'!G13+'数据表'!D10</f>
        <v>2.1608010899475003</v>
      </c>
      <c r="J18" s="26">
        <f>'贷款表'!H13+'数据表'!D10</f>
        <v>2.1608010899475003</v>
      </c>
      <c r="K18" s="26">
        <f>'贷款表'!I13+'数据表'!D10</f>
        <v>2.1608010899475003</v>
      </c>
      <c r="L18" s="26">
        <f>'贷款表'!J13+'数据表'!D10</f>
        <v>2.1608010899475003</v>
      </c>
      <c r="M18" s="26">
        <f>'贷款表'!K13+'数据表'!D10</f>
        <v>2.1608010899475003</v>
      </c>
      <c r="N18" s="26">
        <f>'贷款表'!L13+'数据表'!D10</f>
        <v>2.1608010899475003</v>
      </c>
      <c r="O18" s="26">
        <f aca="true" t="shared" si="14" ref="O18:Z18">N18</f>
        <v>2.1608010899475003</v>
      </c>
      <c r="P18" s="26">
        <f t="shared" si="14"/>
        <v>2.1608010899475003</v>
      </c>
      <c r="Q18" s="26">
        <f t="shared" si="14"/>
        <v>2.1608010899475003</v>
      </c>
      <c r="R18" s="26">
        <f t="shared" si="14"/>
        <v>2.1608010899475003</v>
      </c>
      <c r="S18" s="26">
        <f t="shared" si="14"/>
        <v>2.1608010899475003</v>
      </c>
      <c r="T18" s="26">
        <f t="shared" si="14"/>
        <v>2.1608010899475003</v>
      </c>
      <c r="U18" s="26">
        <f t="shared" si="14"/>
        <v>2.1608010899475003</v>
      </c>
      <c r="V18" s="26">
        <f t="shared" si="14"/>
        <v>2.1608010899475003</v>
      </c>
      <c r="W18" s="26">
        <f t="shared" si="14"/>
        <v>2.1608010899475003</v>
      </c>
      <c r="X18" s="26">
        <f t="shared" si="14"/>
        <v>2.1608010899475003</v>
      </c>
      <c r="Y18" s="26">
        <f t="shared" si="14"/>
        <v>2.1608010899475003</v>
      </c>
      <c r="Z18" s="26">
        <f t="shared" si="14"/>
        <v>2.1608010899475003</v>
      </c>
      <c r="AA18" s="26"/>
      <c r="AB18" s="23"/>
      <c r="AC18" s="24">
        <f t="shared" si="12"/>
        <v>43.21602179895</v>
      </c>
      <c r="AD18" s="25"/>
    </row>
    <row r="19" spans="1:30" ht="18" customHeight="1">
      <c r="A19" s="21" t="s">
        <v>50</v>
      </c>
      <c r="B19" s="22"/>
      <c r="C19" s="23"/>
      <c r="D19" s="23"/>
      <c r="E19" s="23"/>
      <c r="F19" s="23"/>
      <c r="G19" s="24">
        <f aca="true" t="shared" si="15" ref="G19:Z19">SUM(G6:G18)</f>
        <v>316.67347108994744</v>
      </c>
      <c r="H19" s="24">
        <f t="shared" si="15"/>
        <v>316.67347108994744</v>
      </c>
      <c r="I19" s="24">
        <f t="shared" si="15"/>
        <v>316.67347108994744</v>
      </c>
      <c r="J19" s="24">
        <f t="shared" si="15"/>
        <v>316.67347108994744</v>
      </c>
      <c r="K19" s="24">
        <f t="shared" si="15"/>
        <v>316.67347108994744</v>
      </c>
      <c r="L19" s="24">
        <f t="shared" si="15"/>
        <v>316.67347108994744</v>
      </c>
      <c r="M19" s="24">
        <f t="shared" si="15"/>
        <v>316.67347108994744</v>
      </c>
      <c r="N19" s="24">
        <f t="shared" si="15"/>
        <v>316.67347108994744</v>
      </c>
      <c r="O19" s="24">
        <f t="shared" si="15"/>
        <v>316.67347108994744</v>
      </c>
      <c r="P19" s="24">
        <f t="shared" si="15"/>
        <v>316.67347108994744</v>
      </c>
      <c r="Q19" s="24">
        <f t="shared" si="15"/>
        <v>289.37047108994744</v>
      </c>
      <c r="R19" s="24">
        <f t="shared" si="15"/>
        <v>289.37047108994744</v>
      </c>
      <c r="S19" s="24">
        <f t="shared" si="15"/>
        <v>289.37047108994744</v>
      </c>
      <c r="T19" s="24">
        <f t="shared" si="15"/>
        <v>289.37047108994744</v>
      </c>
      <c r="U19" s="24">
        <f t="shared" si="15"/>
        <v>289.37047108994744</v>
      </c>
      <c r="V19" s="24">
        <f t="shared" si="15"/>
        <v>289.37047108994744</v>
      </c>
      <c r="W19" s="24">
        <f t="shared" si="15"/>
        <v>289.37047108994744</v>
      </c>
      <c r="X19" s="24">
        <f t="shared" si="15"/>
        <v>289.37047108994744</v>
      </c>
      <c r="Y19" s="24">
        <f t="shared" si="15"/>
        <v>289.37047108994744</v>
      </c>
      <c r="Z19" s="24">
        <f t="shared" si="15"/>
        <v>289.37047108994744</v>
      </c>
      <c r="AA19" s="24"/>
      <c r="AB19" s="23"/>
      <c r="AC19" s="26">
        <f t="shared" si="12"/>
        <v>6060.439421798948</v>
      </c>
      <c r="AD19" s="25"/>
    </row>
    <row r="20" spans="1:30" ht="18" customHeight="1">
      <c r="A20" s="21" t="s">
        <v>51</v>
      </c>
      <c r="B20" s="22"/>
      <c r="C20" s="23"/>
      <c r="D20" s="23"/>
      <c r="E20" s="23"/>
      <c r="F20" s="23"/>
      <c r="G20" s="24">
        <f aca="true" t="shared" si="16" ref="G20:Z20">SUM(G12:G17)</f>
        <v>223.31267</v>
      </c>
      <c r="H20" s="24">
        <f t="shared" si="16"/>
        <v>223.31267</v>
      </c>
      <c r="I20" s="24">
        <f t="shared" si="16"/>
        <v>223.31267</v>
      </c>
      <c r="J20" s="24">
        <f t="shared" si="16"/>
        <v>223.31267</v>
      </c>
      <c r="K20" s="24">
        <f t="shared" si="16"/>
        <v>223.31267</v>
      </c>
      <c r="L20" s="24">
        <f t="shared" si="16"/>
        <v>223.31267</v>
      </c>
      <c r="M20" s="24">
        <f t="shared" si="16"/>
        <v>223.31267</v>
      </c>
      <c r="N20" s="24">
        <f t="shared" si="16"/>
        <v>223.31267</v>
      </c>
      <c r="O20" s="24">
        <f t="shared" si="16"/>
        <v>223.31267</v>
      </c>
      <c r="P20" s="24">
        <f t="shared" si="16"/>
        <v>223.31267</v>
      </c>
      <c r="Q20" s="24">
        <f t="shared" si="16"/>
        <v>196.00967</v>
      </c>
      <c r="R20" s="24">
        <f t="shared" si="16"/>
        <v>196.00967</v>
      </c>
      <c r="S20" s="24">
        <f t="shared" si="16"/>
        <v>196.00967</v>
      </c>
      <c r="T20" s="24">
        <f t="shared" si="16"/>
        <v>196.00967</v>
      </c>
      <c r="U20" s="24">
        <f t="shared" si="16"/>
        <v>196.00967</v>
      </c>
      <c r="V20" s="24">
        <f t="shared" si="16"/>
        <v>196.00967</v>
      </c>
      <c r="W20" s="24">
        <f t="shared" si="16"/>
        <v>196.00967</v>
      </c>
      <c r="X20" s="24">
        <f t="shared" si="16"/>
        <v>196.00967</v>
      </c>
      <c r="Y20" s="24">
        <f t="shared" si="16"/>
        <v>196.00967</v>
      </c>
      <c r="Z20" s="24">
        <f t="shared" si="16"/>
        <v>196.00967</v>
      </c>
      <c r="AA20" s="24"/>
      <c r="AB20" s="23"/>
      <c r="AC20" s="26">
        <f t="shared" si="12"/>
        <v>4193.223399999999</v>
      </c>
      <c r="AD20" s="25"/>
    </row>
    <row r="21" spans="1:30" ht="18" customHeight="1">
      <c r="A21" s="23" t="s">
        <v>52</v>
      </c>
      <c r="B21" s="22"/>
      <c r="C21" s="23"/>
      <c r="D21" s="23"/>
      <c r="E21" s="23"/>
      <c r="F21" s="23"/>
      <c r="G21" s="24">
        <f aca="true" t="shared" si="17" ref="G21:Z21">G19-G20</f>
        <v>93.36080108994744</v>
      </c>
      <c r="H21" s="24">
        <f t="shared" si="17"/>
        <v>93.36080108994744</v>
      </c>
      <c r="I21" s="24">
        <f t="shared" si="17"/>
        <v>93.36080108994744</v>
      </c>
      <c r="J21" s="24">
        <f t="shared" si="17"/>
        <v>93.36080108994744</v>
      </c>
      <c r="K21" s="24">
        <f t="shared" si="17"/>
        <v>93.36080108994744</v>
      </c>
      <c r="L21" s="24">
        <f t="shared" si="17"/>
        <v>93.36080108994744</v>
      </c>
      <c r="M21" s="24">
        <f t="shared" si="17"/>
        <v>93.36080108994744</v>
      </c>
      <c r="N21" s="24">
        <f t="shared" si="17"/>
        <v>93.36080108994744</v>
      </c>
      <c r="O21" s="24">
        <f t="shared" si="17"/>
        <v>93.36080108994744</v>
      </c>
      <c r="P21" s="24">
        <f t="shared" si="17"/>
        <v>93.36080108994744</v>
      </c>
      <c r="Q21" s="24">
        <f t="shared" si="17"/>
        <v>93.36080108994744</v>
      </c>
      <c r="R21" s="24">
        <f t="shared" si="17"/>
        <v>93.36080108994744</v>
      </c>
      <c r="S21" s="24">
        <f t="shared" si="17"/>
        <v>93.36080108994744</v>
      </c>
      <c r="T21" s="24">
        <f t="shared" si="17"/>
        <v>93.36080108994744</v>
      </c>
      <c r="U21" s="24">
        <f t="shared" si="17"/>
        <v>93.36080108994744</v>
      </c>
      <c r="V21" s="24">
        <f t="shared" si="17"/>
        <v>93.36080108994744</v>
      </c>
      <c r="W21" s="24">
        <f t="shared" si="17"/>
        <v>93.36080108994744</v>
      </c>
      <c r="X21" s="24">
        <f t="shared" si="17"/>
        <v>93.36080108994744</v>
      </c>
      <c r="Y21" s="24">
        <f t="shared" si="17"/>
        <v>93.36080108994744</v>
      </c>
      <c r="Z21" s="24">
        <f t="shared" si="17"/>
        <v>93.36080108994744</v>
      </c>
      <c r="AA21" s="24"/>
      <c r="AB21" s="23"/>
      <c r="AC21" s="26">
        <f t="shared" si="12"/>
        <v>1867.2160217989492</v>
      </c>
      <c r="AD21" s="25"/>
    </row>
    <row r="22" spans="1:30" ht="18" customHeight="1">
      <c r="A22" s="21" t="s">
        <v>53</v>
      </c>
      <c r="B22" s="22"/>
      <c r="C22" s="23"/>
      <c r="D22" s="23"/>
      <c r="E22" s="23"/>
      <c r="F22" s="23"/>
      <c r="G22" s="24">
        <f aca="true" t="shared" si="18" ref="G22:N22">SUM(G6:G12,G14,G16:G17)</f>
        <v>189.05886999999998</v>
      </c>
      <c r="H22" s="24">
        <f t="shared" si="18"/>
        <v>189.05886999999998</v>
      </c>
      <c r="I22" s="24">
        <f t="shared" si="18"/>
        <v>189.05886999999998</v>
      </c>
      <c r="J22" s="24">
        <f t="shared" si="18"/>
        <v>189.05886999999998</v>
      </c>
      <c r="K22" s="24">
        <f t="shared" si="18"/>
        <v>189.05886999999998</v>
      </c>
      <c r="L22" s="24">
        <f t="shared" si="18"/>
        <v>189.05886999999998</v>
      </c>
      <c r="M22" s="24">
        <f t="shared" si="18"/>
        <v>189.05886999999998</v>
      </c>
      <c r="N22" s="24">
        <f t="shared" si="18"/>
        <v>189.05886999999998</v>
      </c>
      <c r="O22" s="24">
        <f aca="true" t="shared" si="19" ref="O22:Z22">SUM(O6,O7:O12,O14,O16:O17)</f>
        <v>189.05886999999998</v>
      </c>
      <c r="P22" s="24">
        <f t="shared" si="19"/>
        <v>189.05886999999998</v>
      </c>
      <c r="Q22" s="24">
        <f t="shared" si="19"/>
        <v>189.05886999999998</v>
      </c>
      <c r="R22" s="24">
        <f t="shared" si="19"/>
        <v>189.05886999999998</v>
      </c>
      <c r="S22" s="24">
        <f t="shared" si="19"/>
        <v>189.05886999999998</v>
      </c>
      <c r="T22" s="24">
        <f t="shared" si="19"/>
        <v>189.05886999999998</v>
      </c>
      <c r="U22" s="24">
        <f t="shared" si="19"/>
        <v>189.05886999999998</v>
      </c>
      <c r="V22" s="24">
        <f t="shared" si="19"/>
        <v>189.05886999999998</v>
      </c>
      <c r="W22" s="24">
        <f t="shared" si="19"/>
        <v>189.05886999999998</v>
      </c>
      <c r="X22" s="24">
        <f t="shared" si="19"/>
        <v>189.05886999999998</v>
      </c>
      <c r="Y22" s="24">
        <f t="shared" si="19"/>
        <v>189.05886999999998</v>
      </c>
      <c r="Z22" s="24">
        <f t="shared" si="19"/>
        <v>189.05886999999998</v>
      </c>
      <c r="AA22" s="24"/>
      <c r="AB22" s="23"/>
      <c r="AC22" s="26">
        <f t="shared" si="12"/>
        <v>3781.1773999999987</v>
      </c>
      <c r="AD22" s="25"/>
    </row>
    <row r="23" spans="1:30" ht="18" customHeight="1">
      <c r="A23" s="21" t="s">
        <v>54</v>
      </c>
      <c r="B23" s="22"/>
      <c r="C23" s="23"/>
      <c r="D23" s="23"/>
      <c r="E23" s="23"/>
      <c r="F23" s="23"/>
      <c r="G23" s="24">
        <f>G19/'数据表'!D7</f>
        <v>0.8675985509313628</v>
      </c>
      <c r="H23" s="24">
        <f>H19/'数据表'!D7</f>
        <v>0.8675985509313628</v>
      </c>
      <c r="I23" s="24">
        <f>I19/'数据表'!D7</f>
        <v>0.8675985509313628</v>
      </c>
      <c r="J23" s="24">
        <f>J19/'数据表'!D7</f>
        <v>0.8675985509313628</v>
      </c>
      <c r="K23" s="24">
        <f>K19/'数据表'!D7</f>
        <v>0.8675985509313628</v>
      </c>
      <c r="L23" s="24">
        <f>L19/'数据表'!D7</f>
        <v>0.8675985509313628</v>
      </c>
      <c r="M23" s="24">
        <f>M19/'数据表'!D7</f>
        <v>0.8675985509313628</v>
      </c>
      <c r="N23" s="24">
        <f>N19/'数据表'!D7</f>
        <v>0.8675985509313628</v>
      </c>
      <c r="O23" s="24">
        <f>O19/'数据表'!D7</f>
        <v>0.8675985509313628</v>
      </c>
      <c r="P23" s="24">
        <f>P19/'数据表'!D7</f>
        <v>0.8675985509313628</v>
      </c>
      <c r="Q23" s="24">
        <f>Q19/'数据表'!D7</f>
        <v>0.7927958112053355</v>
      </c>
      <c r="R23" s="24">
        <f>R19/'数据表'!D7</f>
        <v>0.7927958112053355</v>
      </c>
      <c r="S23" s="24">
        <f>S19/'数据表'!D7</f>
        <v>0.7927958112053355</v>
      </c>
      <c r="T23" s="24">
        <f>T19/'数据表'!D7</f>
        <v>0.7927958112053355</v>
      </c>
      <c r="U23" s="24">
        <f>U19/'数据表'!D7</f>
        <v>0.7927958112053355</v>
      </c>
      <c r="V23" s="24">
        <f>V19/'数据表'!D7</f>
        <v>0.7927958112053355</v>
      </c>
      <c r="W23" s="24">
        <f>W19/'数据表'!D7</f>
        <v>0.7927958112053355</v>
      </c>
      <c r="X23" s="24">
        <f>X19/'数据表'!D7</f>
        <v>0.7927958112053355</v>
      </c>
      <c r="Y23" s="24">
        <f>Y19/'数据表'!D7</f>
        <v>0.7927958112053355</v>
      </c>
      <c r="Z23" s="24">
        <f>Z19/'数据表'!D7</f>
        <v>0.7927958112053355</v>
      </c>
      <c r="AA23" s="24"/>
      <c r="AB23" s="23"/>
      <c r="AC23" s="23"/>
      <c r="AD23" s="25"/>
    </row>
    <row r="24" spans="1:30" ht="18" customHeight="1">
      <c r="A24" s="21" t="s">
        <v>55</v>
      </c>
      <c r="B24" s="22"/>
      <c r="C24" s="23"/>
      <c r="D24" s="23"/>
      <c r="E24" s="23"/>
      <c r="F24" s="23"/>
      <c r="G24" s="24">
        <f aca="true" t="shared" si="20" ref="G24:Z24">G22/360*90</f>
        <v>47.264717499999996</v>
      </c>
      <c r="H24" s="24">
        <f t="shared" si="20"/>
        <v>47.264717499999996</v>
      </c>
      <c r="I24" s="24">
        <f t="shared" si="20"/>
        <v>47.264717499999996</v>
      </c>
      <c r="J24" s="24">
        <f t="shared" si="20"/>
        <v>47.264717499999996</v>
      </c>
      <c r="K24" s="24">
        <f t="shared" si="20"/>
        <v>47.264717499999996</v>
      </c>
      <c r="L24" s="24">
        <f t="shared" si="20"/>
        <v>47.264717499999996</v>
      </c>
      <c r="M24" s="24">
        <f t="shared" si="20"/>
        <v>47.264717499999996</v>
      </c>
      <c r="N24" s="24">
        <f t="shared" si="20"/>
        <v>47.264717499999996</v>
      </c>
      <c r="O24" s="24">
        <f t="shared" si="20"/>
        <v>47.264717499999996</v>
      </c>
      <c r="P24" s="24">
        <f t="shared" si="20"/>
        <v>47.264717499999996</v>
      </c>
      <c r="Q24" s="24">
        <f t="shared" si="20"/>
        <v>47.264717499999996</v>
      </c>
      <c r="R24" s="24">
        <f t="shared" si="20"/>
        <v>47.264717499999996</v>
      </c>
      <c r="S24" s="24">
        <f t="shared" si="20"/>
        <v>47.264717499999996</v>
      </c>
      <c r="T24" s="24">
        <f t="shared" si="20"/>
        <v>47.264717499999996</v>
      </c>
      <c r="U24" s="24">
        <f t="shared" si="20"/>
        <v>47.264717499999996</v>
      </c>
      <c r="V24" s="24">
        <f t="shared" si="20"/>
        <v>47.264717499999996</v>
      </c>
      <c r="W24" s="24">
        <f t="shared" si="20"/>
        <v>47.264717499999996</v>
      </c>
      <c r="X24" s="24">
        <f t="shared" si="20"/>
        <v>47.264717499999996</v>
      </c>
      <c r="Y24" s="24">
        <f t="shared" si="20"/>
        <v>47.264717499999996</v>
      </c>
      <c r="Z24" s="24">
        <f t="shared" si="20"/>
        <v>47.264717499999996</v>
      </c>
      <c r="AA24" s="24"/>
      <c r="AB24" s="23"/>
      <c r="AC24" s="23"/>
      <c r="AD24" s="25"/>
    </row>
    <row r="25" spans="3:29" ht="14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</sheetData>
  <mergeCells count="2">
    <mergeCell ref="D2:K2"/>
    <mergeCell ref="R2:Y2"/>
  </mergeCells>
  <printOptions verticalCentered="1"/>
  <pageMargins left="0.5902777777777778" right="0.19652777777777777" top="0" bottom="0.5902777777777778" header="0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4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="75" zoomScaleNormal="75" workbookViewId="0" topLeftCell="A1">
      <selection activeCell="A22" sqref="A22:IV24"/>
    </sheetView>
  </sheetViews>
  <sheetFormatPr defaultColWidth="9.00390625" defaultRowHeight="14.25"/>
  <cols>
    <col min="1" max="1" width="16.625" style="0" customWidth="1"/>
    <col min="2" max="27" width="8.125" style="0" customWidth="1"/>
  </cols>
  <sheetData>
    <row r="1" spans="1:25" ht="50.25" customHeight="1">
      <c r="A1" s="28"/>
      <c r="B1" s="28"/>
      <c r="C1" s="28"/>
      <c r="D1" s="28"/>
      <c r="E1" s="28"/>
      <c r="F1" s="19" t="s">
        <v>56</v>
      </c>
      <c r="G1" s="19" t="s">
        <v>57</v>
      </c>
      <c r="H1" s="19" t="s">
        <v>3</v>
      </c>
      <c r="I1" s="29"/>
      <c r="J1" s="29"/>
      <c r="K1" s="29"/>
      <c r="L1" s="29"/>
      <c r="M1" s="29"/>
      <c r="N1" s="29"/>
      <c r="O1" s="18"/>
      <c r="P1" s="18"/>
      <c r="Q1" s="18"/>
      <c r="R1" s="18"/>
      <c r="S1" s="19" t="s">
        <v>56</v>
      </c>
      <c r="T1" s="19" t="s">
        <v>57</v>
      </c>
      <c r="U1" s="19" t="s">
        <v>3</v>
      </c>
      <c r="V1" s="18"/>
      <c r="W1" s="18"/>
      <c r="X1" s="18"/>
      <c r="Y1" s="18"/>
    </row>
    <row r="2" spans="1:14" ht="10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7" ht="30" customHeight="1">
      <c r="A3" s="20" t="s">
        <v>31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0">
        <v>14</v>
      </c>
      <c r="P3" s="20">
        <v>15</v>
      </c>
      <c r="Q3" s="20">
        <v>16</v>
      </c>
      <c r="R3" s="30">
        <v>17</v>
      </c>
      <c r="S3" s="20">
        <v>18</v>
      </c>
      <c r="T3" s="20">
        <v>19</v>
      </c>
      <c r="U3" s="20">
        <v>20</v>
      </c>
      <c r="V3" s="20">
        <v>21</v>
      </c>
      <c r="W3" s="20">
        <v>22</v>
      </c>
      <c r="X3" s="20">
        <v>23</v>
      </c>
      <c r="Y3" s="20">
        <v>24</v>
      </c>
      <c r="Z3" s="20"/>
      <c r="AA3" s="20" t="s">
        <v>29</v>
      </c>
    </row>
    <row r="4" spans="1:27" ht="19.5" customHeight="1">
      <c r="A4" s="31" t="s">
        <v>58</v>
      </c>
      <c r="B4" s="23"/>
      <c r="C4" s="23"/>
      <c r="D4" s="24">
        <f>'数据表'!J2</f>
        <v>100</v>
      </c>
      <c r="E4" s="24">
        <f>'数据表'!J3</f>
        <v>100</v>
      </c>
      <c r="F4" s="24">
        <f>'数据表'!J4</f>
        <v>100</v>
      </c>
      <c r="G4" s="24">
        <f>'数据表'!J5</f>
        <v>100</v>
      </c>
      <c r="H4" s="24">
        <f>'数据表'!J6</f>
        <v>100</v>
      </c>
      <c r="I4" s="24">
        <f>'数据表'!J7</f>
        <v>100</v>
      </c>
      <c r="J4" s="24">
        <f>'数据表'!J8</f>
        <v>100</v>
      </c>
      <c r="K4" s="24">
        <f>'数据表'!J9</f>
        <v>100</v>
      </c>
      <c r="L4" s="24">
        <f>'数据表'!J10</f>
        <v>100</v>
      </c>
      <c r="M4" s="24">
        <f>'数据表'!J11</f>
        <v>100</v>
      </c>
      <c r="N4" s="24">
        <v>100</v>
      </c>
      <c r="O4" s="24">
        <v>100</v>
      </c>
      <c r="P4" s="24">
        <v>100</v>
      </c>
      <c r="Q4" s="24">
        <v>100</v>
      </c>
      <c r="R4" s="24">
        <v>100</v>
      </c>
      <c r="S4" s="24">
        <v>100</v>
      </c>
      <c r="T4" s="24">
        <v>100</v>
      </c>
      <c r="U4" s="24">
        <v>100</v>
      </c>
      <c r="V4" s="24">
        <v>100</v>
      </c>
      <c r="W4" s="24">
        <v>100</v>
      </c>
      <c r="X4" s="24"/>
      <c r="Y4" s="24"/>
      <c r="Z4" s="23"/>
      <c r="AA4" s="23"/>
    </row>
    <row r="5" spans="1:27" ht="19.5" customHeight="1">
      <c r="A5" s="31" t="s">
        <v>59</v>
      </c>
      <c r="B5" s="23"/>
      <c r="C5" s="23"/>
      <c r="D5" s="24">
        <f>'数据表'!D8*'数据表'!D7*D4/100</f>
        <v>510.99999999999994</v>
      </c>
      <c r="E5" s="24">
        <f>'数据表'!D7*'数据表'!D8*'损益表'!E4/100</f>
        <v>510.99999999999994</v>
      </c>
      <c r="F5" s="24">
        <f>'数据表'!D7*'数据表'!D8*'损益表'!F4/100</f>
        <v>510.99999999999994</v>
      </c>
      <c r="G5" s="24">
        <f>'数据表'!D7*'数据表'!D8*'损益表'!G4/100</f>
        <v>510.99999999999994</v>
      </c>
      <c r="H5" s="24">
        <f>'数据表'!D7*'数据表'!D8*'损益表'!H4/100</f>
        <v>510.99999999999994</v>
      </c>
      <c r="I5" s="24">
        <f>'数据表'!D7*'数据表'!D8*'损益表'!I4/100</f>
        <v>510.99999999999994</v>
      </c>
      <c r="J5" s="24">
        <f>'数据表'!D7*'数据表'!D8*'损益表'!J4/100</f>
        <v>510.99999999999994</v>
      </c>
      <c r="K5" s="24">
        <f>'数据表'!D7*'数据表'!D8*'损益表'!K4/100</f>
        <v>510.99999999999994</v>
      </c>
      <c r="L5" s="24">
        <f>'数据表'!D7*'数据表'!D8*'损益表'!L4/100</f>
        <v>510.99999999999994</v>
      </c>
      <c r="M5" s="24">
        <f>'数据表'!D7*'数据表'!D8*'损益表'!M4/100</f>
        <v>510.99999999999994</v>
      </c>
      <c r="N5" s="24">
        <f aca="true" t="shared" si="0" ref="N5:W5">M5</f>
        <v>510.99999999999994</v>
      </c>
      <c r="O5" s="24">
        <f t="shared" si="0"/>
        <v>510.99999999999994</v>
      </c>
      <c r="P5" s="24">
        <f t="shared" si="0"/>
        <v>510.99999999999994</v>
      </c>
      <c r="Q5" s="24">
        <f t="shared" si="0"/>
        <v>510.99999999999994</v>
      </c>
      <c r="R5" s="24">
        <f t="shared" si="0"/>
        <v>510.99999999999994</v>
      </c>
      <c r="S5" s="24">
        <f t="shared" si="0"/>
        <v>510.99999999999994</v>
      </c>
      <c r="T5" s="24">
        <f t="shared" si="0"/>
        <v>510.99999999999994</v>
      </c>
      <c r="U5" s="24">
        <f t="shared" si="0"/>
        <v>510.99999999999994</v>
      </c>
      <c r="V5" s="24">
        <f t="shared" si="0"/>
        <v>510.99999999999994</v>
      </c>
      <c r="W5" s="24">
        <f t="shared" si="0"/>
        <v>510.99999999999994</v>
      </c>
      <c r="X5" s="23"/>
      <c r="Y5" s="23"/>
      <c r="Z5" s="23"/>
      <c r="AA5" s="24">
        <f>SUM(D5:Y5)</f>
        <v>10219.999999999998</v>
      </c>
    </row>
    <row r="6" spans="1:27" ht="19.5" customHeight="1">
      <c r="A6" s="31" t="s">
        <v>60</v>
      </c>
      <c r="B6" s="23"/>
      <c r="C6" s="23"/>
      <c r="D6" s="24">
        <f aca="true" t="shared" si="1" ref="D6:M6">(D7+D9+D10-D8)</f>
        <v>55.50933999999999</v>
      </c>
      <c r="E6" s="24">
        <f t="shared" si="1"/>
        <v>55.50933999999999</v>
      </c>
      <c r="F6" s="24">
        <f t="shared" si="1"/>
        <v>55.50933999999999</v>
      </c>
      <c r="G6" s="24">
        <f t="shared" si="1"/>
        <v>55.50933999999999</v>
      </c>
      <c r="H6" s="24">
        <f t="shared" si="1"/>
        <v>55.50933999999999</v>
      </c>
      <c r="I6" s="24">
        <f t="shared" si="1"/>
        <v>55.50933999999999</v>
      </c>
      <c r="J6" s="24">
        <f t="shared" si="1"/>
        <v>55.50933999999999</v>
      </c>
      <c r="K6" s="24">
        <f t="shared" si="1"/>
        <v>55.50933999999999</v>
      </c>
      <c r="L6" s="24">
        <f t="shared" si="1"/>
        <v>55.50933999999999</v>
      </c>
      <c r="M6" s="24">
        <f t="shared" si="1"/>
        <v>55.50933999999999</v>
      </c>
      <c r="N6" s="24">
        <f aca="true" t="shared" si="2" ref="N6:W6">N7+N9+N10-N8</f>
        <v>55.50933999999999</v>
      </c>
      <c r="O6" s="24">
        <f t="shared" si="2"/>
        <v>55.50933999999999</v>
      </c>
      <c r="P6" s="24">
        <f t="shared" si="2"/>
        <v>55.50933999999999</v>
      </c>
      <c r="Q6" s="24">
        <f t="shared" si="2"/>
        <v>55.50933999999999</v>
      </c>
      <c r="R6" s="24">
        <f t="shared" si="2"/>
        <v>55.50933999999999</v>
      </c>
      <c r="S6" s="24">
        <f t="shared" si="2"/>
        <v>55.50933999999999</v>
      </c>
      <c r="T6" s="24">
        <f t="shared" si="2"/>
        <v>55.50933999999999</v>
      </c>
      <c r="U6" s="24">
        <f t="shared" si="2"/>
        <v>55.50933999999999</v>
      </c>
      <c r="V6" s="24">
        <f t="shared" si="2"/>
        <v>55.50933999999999</v>
      </c>
      <c r="W6" s="24">
        <f t="shared" si="2"/>
        <v>55.50933999999999</v>
      </c>
      <c r="X6" s="24"/>
      <c r="Y6" s="23"/>
      <c r="Z6" s="23"/>
      <c r="AA6" s="24">
        <f>SUM(D6:Y6)</f>
        <v>1110.1867999999997</v>
      </c>
    </row>
    <row r="7" spans="1:27" ht="19.5" customHeight="1">
      <c r="A7" s="32" t="s">
        <v>61</v>
      </c>
      <c r="B7" s="23"/>
      <c r="C7" s="23"/>
      <c r="D7" s="24">
        <f aca="true" t="shared" si="3" ref="D7:W7">D5*0.13</f>
        <v>66.42999999999999</v>
      </c>
      <c r="E7" s="24">
        <f t="shared" si="3"/>
        <v>66.42999999999999</v>
      </c>
      <c r="F7" s="24">
        <f t="shared" si="3"/>
        <v>66.42999999999999</v>
      </c>
      <c r="G7" s="24">
        <f t="shared" si="3"/>
        <v>66.42999999999999</v>
      </c>
      <c r="H7" s="24">
        <f t="shared" si="3"/>
        <v>66.42999999999999</v>
      </c>
      <c r="I7" s="24">
        <f t="shared" si="3"/>
        <v>66.42999999999999</v>
      </c>
      <c r="J7" s="24">
        <f t="shared" si="3"/>
        <v>66.42999999999999</v>
      </c>
      <c r="K7" s="24">
        <f t="shared" si="3"/>
        <v>66.42999999999999</v>
      </c>
      <c r="L7" s="24">
        <f t="shared" si="3"/>
        <v>66.42999999999999</v>
      </c>
      <c r="M7" s="24">
        <f t="shared" si="3"/>
        <v>66.42999999999999</v>
      </c>
      <c r="N7" s="24">
        <f t="shared" si="3"/>
        <v>66.42999999999999</v>
      </c>
      <c r="O7" s="24">
        <f t="shared" si="3"/>
        <v>66.42999999999999</v>
      </c>
      <c r="P7" s="24">
        <f t="shared" si="3"/>
        <v>66.42999999999999</v>
      </c>
      <c r="Q7" s="24">
        <f t="shared" si="3"/>
        <v>66.42999999999999</v>
      </c>
      <c r="R7" s="24">
        <f t="shared" si="3"/>
        <v>66.42999999999999</v>
      </c>
      <c r="S7" s="24">
        <f t="shared" si="3"/>
        <v>66.42999999999999</v>
      </c>
      <c r="T7" s="24">
        <f t="shared" si="3"/>
        <v>66.42999999999999</v>
      </c>
      <c r="U7" s="24">
        <f t="shared" si="3"/>
        <v>66.42999999999999</v>
      </c>
      <c r="V7" s="24">
        <f t="shared" si="3"/>
        <v>66.42999999999999</v>
      </c>
      <c r="W7" s="24">
        <f t="shared" si="3"/>
        <v>66.42999999999999</v>
      </c>
      <c r="X7" s="24"/>
      <c r="Y7" s="23"/>
      <c r="Z7" s="23"/>
      <c r="AA7" s="24">
        <f aca="true" t="shared" si="4" ref="AA7:AA16">SUM(D7:X7)</f>
        <v>1328.6</v>
      </c>
    </row>
    <row r="8" spans="1:27" ht="19.5" customHeight="1">
      <c r="A8" s="32" t="s">
        <v>62</v>
      </c>
      <c r="B8" s="23"/>
      <c r="C8" s="23"/>
      <c r="D8" s="24">
        <f>('成本表'!G6+'成本表'!G7+'成本表'!G8+'成本表'!G9+'成本表'!G10+'成本表'!G11)*0.17</f>
        <v>15.504</v>
      </c>
      <c r="E8" s="24">
        <f>('成本表'!H6+'成本表'!H7+'成本表'!H8+'成本表'!H9+'成本表'!H10+'成本表'!H11)*0.17</f>
        <v>15.504</v>
      </c>
      <c r="F8" s="24">
        <f>('成本表'!I6+'成本表'!I7+'成本表'!I8+'成本表'!I9+'成本表'!I10+'成本表'!I11)*0.17</f>
        <v>15.504</v>
      </c>
      <c r="G8" s="24">
        <f>('成本表'!J6+'成本表'!J7+'成本表'!J8+'成本表'!J9+'成本表'!J10+'成本表'!J11)*0.17</f>
        <v>15.504</v>
      </c>
      <c r="H8" s="24">
        <f>('成本表'!K6+'成本表'!K7+'成本表'!K8+'成本表'!K9+'成本表'!K10+'成本表'!K11)*0.17</f>
        <v>15.504</v>
      </c>
      <c r="I8" s="24">
        <f>('成本表'!L6+'成本表'!L7+'成本表'!L8+'成本表'!L9+'成本表'!L10+'成本表'!L11)*0.17</f>
        <v>15.504</v>
      </c>
      <c r="J8" s="24">
        <f>('成本表'!M6+'成本表'!M7+'成本表'!M8+'成本表'!M9+'成本表'!M10+'成本表'!M11)*0.17</f>
        <v>15.504</v>
      </c>
      <c r="K8" s="24">
        <f>('成本表'!N6+'成本表'!N7+'成本表'!N8+'成本表'!N9+'成本表'!N10+'成本表'!N11)*0.17</f>
        <v>15.504</v>
      </c>
      <c r="L8" s="24">
        <f>('成本表'!O6+'成本表'!O7+'成本表'!O8+'成本表'!O9+'成本表'!O10+'成本表'!O11)*0.17</f>
        <v>15.504</v>
      </c>
      <c r="M8" s="24">
        <f>('成本表'!P6+'成本表'!P7+'成本表'!P8+'成本表'!P9+'成本表'!P10+'成本表'!P11)*0.17</f>
        <v>15.504</v>
      </c>
      <c r="N8" s="24">
        <f>('成本表'!Q6+'成本表'!Q7+'成本表'!Q8+'成本表'!Q9+'成本表'!Q10+'成本表'!Q11)*0.17</f>
        <v>15.504</v>
      </c>
      <c r="O8" s="24">
        <f>('成本表'!R6+'成本表'!R7+'成本表'!R8+'成本表'!R9+'成本表'!R10+'成本表'!R11)*0.17</f>
        <v>15.504</v>
      </c>
      <c r="P8" s="24">
        <f>('成本表'!S6+'成本表'!S7+'成本表'!S8+'成本表'!S9+'成本表'!S10+'成本表'!S11)*0.17</f>
        <v>15.504</v>
      </c>
      <c r="Q8" s="24">
        <f>('成本表'!T6+'成本表'!T7+'成本表'!T8+'成本表'!T9+'成本表'!T10+'成本表'!T11)*0.17</f>
        <v>15.504</v>
      </c>
      <c r="R8" s="24">
        <f>('成本表'!U6+'成本表'!U7+'成本表'!U8+'成本表'!U9+'成本表'!U10+'成本表'!U11)*0.17</f>
        <v>15.504</v>
      </c>
      <c r="S8" s="24">
        <f>('成本表'!V6+'成本表'!V7+'成本表'!V8+'成本表'!V9+'成本表'!V10+'成本表'!V11)*0.17</f>
        <v>15.504</v>
      </c>
      <c r="T8" s="24">
        <f>('成本表'!W6+'成本表'!W7+'成本表'!W8+'成本表'!W9+'成本表'!W10+'成本表'!W11)*0.17</f>
        <v>15.504</v>
      </c>
      <c r="U8" s="24">
        <f>('成本表'!X6+'成本表'!X7+'成本表'!X8+'成本表'!X9+'成本表'!X10+'成本表'!X11)*0.17</f>
        <v>15.504</v>
      </c>
      <c r="V8" s="24">
        <f>('成本表'!Y6+'成本表'!Y7+'成本表'!Y8+'成本表'!Y9+'成本表'!Y10+'成本表'!Y11)*0.17</f>
        <v>15.504</v>
      </c>
      <c r="W8" s="24">
        <f>('成本表'!Z6+'成本表'!Z7+'成本表'!Z8+'成本表'!Z9+'成本表'!Z10+'成本表'!Z11)*0.17</f>
        <v>15.504</v>
      </c>
      <c r="X8" s="24"/>
      <c r="Y8" s="23"/>
      <c r="Z8" s="23"/>
      <c r="AA8" s="24">
        <f t="shared" si="4"/>
        <v>310.08</v>
      </c>
    </row>
    <row r="9" spans="1:27" ht="19.5" customHeight="1">
      <c r="A9" s="32" t="s">
        <v>63</v>
      </c>
      <c r="B9" s="23"/>
      <c r="C9" s="23"/>
      <c r="D9" s="24">
        <f aca="true" t="shared" si="5" ref="D9:W9">(D7-D8)*0.07</f>
        <v>3.56482</v>
      </c>
      <c r="E9" s="24">
        <f t="shared" si="5"/>
        <v>3.56482</v>
      </c>
      <c r="F9" s="24">
        <f t="shared" si="5"/>
        <v>3.56482</v>
      </c>
      <c r="G9" s="24">
        <f t="shared" si="5"/>
        <v>3.56482</v>
      </c>
      <c r="H9" s="24">
        <f t="shared" si="5"/>
        <v>3.56482</v>
      </c>
      <c r="I9" s="24">
        <f t="shared" si="5"/>
        <v>3.56482</v>
      </c>
      <c r="J9" s="24">
        <f t="shared" si="5"/>
        <v>3.56482</v>
      </c>
      <c r="K9" s="24">
        <f t="shared" si="5"/>
        <v>3.56482</v>
      </c>
      <c r="L9" s="24">
        <f t="shared" si="5"/>
        <v>3.56482</v>
      </c>
      <c r="M9" s="24">
        <f t="shared" si="5"/>
        <v>3.56482</v>
      </c>
      <c r="N9" s="24">
        <f t="shared" si="5"/>
        <v>3.56482</v>
      </c>
      <c r="O9" s="24">
        <f t="shared" si="5"/>
        <v>3.56482</v>
      </c>
      <c r="P9" s="24">
        <f t="shared" si="5"/>
        <v>3.56482</v>
      </c>
      <c r="Q9" s="24">
        <f t="shared" si="5"/>
        <v>3.56482</v>
      </c>
      <c r="R9" s="24">
        <f t="shared" si="5"/>
        <v>3.56482</v>
      </c>
      <c r="S9" s="24">
        <f t="shared" si="5"/>
        <v>3.56482</v>
      </c>
      <c r="T9" s="24">
        <f t="shared" si="5"/>
        <v>3.56482</v>
      </c>
      <c r="U9" s="24">
        <f t="shared" si="5"/>
        <v>3.56482</v>
      </c>
      <c r="V9" s="24">
        <f t="shared" si="5"/>
        <v>3.56482</v>
      </c>
      <c r="W9" s="24">
        <f t="shared" si="5"/>
        <v>3.56482</v>
      </c>
      <c r="X9" s="24"/>
      <c r="Y9" s="23"/>
      <c r="Z9" s="23"/>
      <c r="AA9" s="24">
        <f t="shared" si="4"/>
        <v>71.29639999999998</v>
      </c>
    </row>
    <row r="10" spans="1:27" ht="19.5" customHeight="1">
      <c r="A10" s="32" t="s">
        <v>64</v>
      </c>
      <c r="B10" s="23"/>
      <c r="C10" s="23"/>
      <c r="D10" s="24">
        <f aca="true" t="shared" si="6" ref="D10:W10">(D7-D8)*0.02</f>
        <v>1.0185199999999999</v>
      </c>
      <c r="E10" s="24">
        <f t="shared" si="6"/>
        <v>1.0185199999999999</v>
      </c>
      <c r="F10" s="24">
        <f t="shared" si="6"/>
        <v>1.0185199999999999</v>
      </c>
      <c r="G10" s="24">
        <f t="shared" si="6"/>
        <v>1.0185199999999999</v>
      </c>
      <c r="H10" s="24">
        <f t="shared" si="6"/>
        <v>1.0185199999999999</v>
      </c>
      <c r="I10" s="24">
        <f t="shared" si="6"/>
        <v>1.0185199999999999</v>
      </c>
      <c r="J10" s="24">
        <f t="shared" si="6"/>
        <v>1.0185199999999999</v>
      </c>
      <c r="K10" s="24">
        <f t="shared" si="6"/>
        <v>1.0185199999999999</v>
      </c>
      <c r="L10" s="24">
        <f t="shared" si="6"/>
        <v>1.0185199999999999</v>
      </c>
      <c r="M10" s="24">
        <f t="shared" si="6"/>
        <v>1.0185199999999999</v>
      </c>
      <c r="N10" s="24">
        <f t="shared" si="6"/>
        <v>1.0185199999999999</v>
      </c>
      <c r="O10" s="24">
        <f t="shared" si="6"/>
        <v>1.0185199999999999</v>
      </c>
      <c r="P10" s="24">
        <f t="shared" si="6"/>
        <v>1.0185199999999999</v>
      </c>
      <c r="Q10" s="24">
        <f t="shared" si="6"/>
        <v>1.0185199999999999</v>
      </c>
      <c r="R10" s="24">
        <f t="shared" si="6"/>
        <v>1.0185199999999999</v>
      </c>
      <c r="S10" s="24">
        <f t="shared" si="6"/>
        <v>1.0185199999999999</v>
      </c>
      <c r="T10" s="24">
        <f t="shared" si="6"/>
        <v>1.0185199999999999</v>
      </c>
      <c r="U10" s="24">
        <f t="shared" si="6"/>
        <v>1.0185199999999999</v>
      </c>
      <c r="V10" s="24">
        <f t="shared" si="6"/>
        <v>1.0185199999999999</v>
      </c>
      <c r="W10" s="24">
        <f t="shared" si="6"/>
        <v>1.0185199999999999</v>
      </c>
      <c r="X10" s="24"/>
      <c r="Y10" s="23"/>
      <c r="Z10" s="23"/>
      <c r="AA10" s="24">
        <f t="shared" si="4"/>
        <v>20.370399999999997</v>
      </c>
    </row>
    <row r="11" spans="1:27" ht="19.5" customHeight="1">
      <c r="A11" s="31" t="s">
        <v>50</v>
      </c>
      <c r="B11" s="23"/>
      <c r="C11" s="23"/>
      <c r="D11" s="24">
        <f>'成本表'!G19</f>
        <v>316.67347108994744</v>
      </c>
      <c r="E11" s="24">
        <f>'成本表'!H19</f>
        <v>316.67347108994744</v>
      </c>
      <c r="F11" s="24">
        <f>'成本表'!I19</f>
        <v>316.67347108994744</v>
      </c>
      <c r="G11" s="24">
        <f>'成本表'!J19</f>
        <v>316.67347108994744</v>
      </c>
      <c r="H11" s="24">
        <f>'成本表'!K19</f>
        <v>316.67347108994744</v>
      </c>
      <c r="I11" s="24">
        <f>'成本表'!L19</f>
        <v>316.67347108994744</v>
      </c>
      <c r="J11" s="24">
        <f>'成本表'!M19</f>
        <v>316.67347108994744</v>
      </c>
      <c r="K11" s="24">
        <f>'成本表'!N19</f>
        <v>316.67347108994744</v>
      </c>
      <c r="L11" s="24">
        <f>'成本表'!O19</f>
        <v>316.67347108994744</v>
      </c>
      <c r="M11" s="24">
        <f>'成本表'!P19</f>
        <v>316.67347108994744</v>
      </c>
      <c r="N11" s="24">
        <f>'成本表'!Q19</f>
        <v>289.37047108994744</v>
      </c>
      <c r="O11" s="24">
        <f>'成本表'!R19</f>
        <v>289.37047108994744</v>
      </c>
      <c r="P11" s="24">
        <f>'成本表'!S19</f>
        <v>289.37047108994744</v>
      </c>
      <c r="Q11" s="24">
        <f>'成本表'!T19</f>
        <v>289.37047108994744</v>
      </c>
      <c r="R11" s="24">
        <f>'成本表'!U19</f>
        <v>289.37047108994744</v>
      </c>
      <c r="S11" s="24">
        <f>'成本表'!V19</f>
        <v>289.37047108994744</v>
      </c>
      <c r="T11" s="24">
        <f>'成本表'!W19</f>
        <v>289.37047108994744</v>
      </c>
      <c r="U11" s="24">
        <f>'成本表'!X19</f>
        <v>289.37047108994744</v>
      </c>
      <c r="V11" s="24">
        <f>'成本表'!Y19</f>
        <v>289.37047108994744</v>
      </c>
      <c r="W11" s="24">
        <f>'成本表'!Z19</f>
        <v>289.37047108994744</v>
      </c>
      <c r="X11" s="24"/>
      <c r="Y11" s="23"/>
      <c r="Z11" s="23"/>
      <c r="AA11" s="26">
        <f t="shared" si="4"/>
        <v>6060.439421798948</v>
      </c>
    </row>
    <row r="12" spans="1:27" ht="19.5" customHeight="1">
      <c r="A12" s="31" t="s">
        <v>65</v>
      </c>
      <c r="B12" s="23"/>
      <c r="C12" s="23"/>
      <c r="D12" s="33">
        <f aca="true" t="shared" si="7" ref="D12:W12">D5-D6-D11</f>
        <v>138.8171889100525</v>
      </c>
      <c r="E12" s="34">
        <f t="shared" si="7"/>
        <v>138.8171889100525</v>
      </c>
      <c r="F12" s="33">
        <f t="shared" si="7"/>
        <v>138.8171889100525</v>
      </c>
      <c r="G12" s="33">
        <f t="shared" si="7"/>
        <v>138.8171889100525</v>
      </c>
      <c r="H12" s="33">
        <f t="shared" si="7"/>
        <v>138.8171889100525</v>
      </c>
      <c r="I12" s="33">
        <f t="shared" si="7"/>
        <v>138.8171889100525</v>
      </c>
      <c r="J12" s="33">
        <f t="shared" si="7"/>
        <v>138.8171889100525</v>
      </c>
      <c r="K12" s="33">
        <f t="shared" si="7"/>
        <v>138.8171889100525</v>
      </c>
      <c r="L12" s="33">
        <f t="shared" si="7"/>
        <v>138.8171889100525</v>
      </c>
      <c r="M12" s="33">
        <f t="shared" si="7"/>
        <v>138.8171889100525</v>
      </c>
      <c r="N12" s="35">
        <f t="shared" si="7"/>
        <v>166.1201889100525</v>
      </c>
      <c r="O12" s="35">
        <f t="shared" si="7"/>
        <v>166.1201889100525</v>
      </c>
      <c r="P12" s="35">
        <f t="shared" si="7"/>
        <v>166.1201889100525</v>
      </c>
      <c r="Q12" s="35">
        <f t="shared" si="7"/>
        <v>166.1201889100525</v>
      </c>
      <c r="R12" s="35">
        <f t="shared" si="7"/>
        <v>166.1201889100525</v>
      </c>
      <c r="S12" s="35">
        <f t="shared" si="7"/>
        <v>166.1201889100525</v>
      </c>
      <c r="T12" s="35">
        <f t="shared" si="7"/>
        <v>166.1201889100525</v>
      </c>
      <c r="U12" s="35">
        <f t="shared" si="7"/>
        <v>166.1201889100525</v>
      </c>
      <c r="V12" s="35">
        <f t="shared" si="7"/>
        <v>166.1201889100525</v>
      </c>
      <c r="W12" s="35">
        <f t="shared" si="7"/>
        <v>166.1201889100525</v>
      </c>
      <c r="X12" s="36"/>
      <c r="Y12" s="23"/>
      <c r="Z12" s="23"/>
      <c r="AA12" s="24">
        <f t="shared" si="4"/>
        <v>3049.37377820105</v>
      </c>
    </row>
    <row r="13" spans="1:27" ht="19.5" customHeight="1">
      <c r="A13" s="31" t="s">
        <v>66</v>
      </c>
      <c r="B13" s="23"/>
      <c r="C13" s="23"/>
      <c r="D13" s="35">
        <f aca="true" t="shared" si="8" ref="D13:W13">D12</f>
        <v>138.8171889100525</v>
      </c>
      <c r="E13" s="35">
        <f t="shared" si="8"/>
        <v>138.8171889100525</v>
      </c>
      <c r="F13" s="35">
        <f t="shared" si="8"/>
        <v>138.8171889100525</v>
      </c>
      <c r="G13" s="35">
        <f t="shared" si="8"/>
        <v>138.8171889100525</v>
      </c>
      <c r="H13" s="35">
        <f t="shared" si="8"/>
        <v>138.8171889100525</v>
      </c>
      <c r="I13" s="35">
        <f t="shared" si="8"/>
        <v>138.8171889100525</v>
      </c>
      <c r="J13" s="35">
        <f t="shared" si="8"/>
        <v>138.8171889100525</v>
      </c>
      <c r="K13" s="35">
        <f t="shared" si="8"/>
        <v>138.8171889100525</v>
      </c>
      <c r="L13" s="35">
        <f t="shared" si="8"/>
        <v>138.8171889100525</v>
      </c>
      <c r="M13" s="35">
        <f t="shared" si="8"/>
        <v>138.8171889100525</v>
      </c>
      <c r="N13" s="35">
        <f t="shared" si="8"/>
        <v>166.1201889100525</v>
      </c>
      <c r="O13" s="35">
        <f t="shared" si="8"/>
        <v>166.1201889100525</v>
      </c>
      <c r="P13" s="35">
        <f t="shared" si="8"/>
        <v>166.1201889100525</v>
      </c>
      <c r="Q13" s="35">
        <f t="shared" si="8"/>
        <v>166.1201889100525</v>
      </c>
      <c r="R13" s="35">
        <f t="shared" si="8"/>
        <v>166.1201889100525</v>
      </c>
      <c r="S13" s="35">
        <f t="shared" si="8"/>
        <v>166.1201889100525</v>
      </c>
      <c r="T13" s="35">
        <f t="shared" si="8"/>
        <v>166.1201889100525</v>
      </c>
      <c r="U13" s="35">
        <f t="shared" si="8"/>
        <v>166.1201889100525</v>
      </c>
      <c r="V13" s="35">
        <f t="shared" si="8"/>
        <v>166.1201889100525</v>
      </c>
      <c r="W13" s="35">
        <f t="shared" si="8"/>
        <v>166.1201889100525</v>
      </c>
      <c r="X13" s="36"/>
      <c r="Y13" s="23"/>
      <c r="Z13" s="23"/>
      <c r="AA13" s="24">
        <f t="shared" si="4"/>
        <v>3049.37377820105</v>
      </c>
    </row>
    <row r="14" spans="1:27" ht="19.5" customHeight="1">
      <c r="A14" s="31" t="s">
        <v>67</v>
      </c>
      <c r="B14" s="23"/>
      <c r="C14" s="23"/>
      <c r="D14" s="24">
        <f aca="true" t="shared" si="9" ref="D14:W14">D13*0.33</f>
        <v>45.80967234031733</v>
      </c>
      <c r="E14" s="24">
        <f t="shared" si="9"/>
        <v>45.80967234031733</v>
      </c>
      <c r="F14" s="24">
        <f t="shared" si="9"/>
        <v>45.80967234031733</v>
      </c>
      <c r="G14" s="24">
        <f t="shared" si="9"/>
        <v>45.80967234031733</v>
      </c>
      <c r="H14" s="24">
        <f t="shared" si="9"/>
        <v>45.80967234031733</v>
      </c>
      <c r="I14" s="24">
        <f t="shared" si="9"/>
        <v>45.80967234031733</v>
      </c>
      <c r="J14" s="24">
        <f t="shared" si="9"/>
        <v>45.80967234031733</v>
      </c>
      <c r="K14" s="24">
        <f t="shared" si="9"/>
        <v>45.80967234031733</v>
      </c>
      <c r="L14" s="24">
        <f t="shared" si="9"/>
        <v>45.80967234031733</v>
      </c>
      <c r="M14" s="24">
        <f t="shared" si="9"/>
        <v>45.80967234031733</v>
      </c>
      <c r="N14" s="24">
        <f t="shared" si="9"/>
        <v>54.81966234031732</v>
      </c>
      <c r="O14" s="24">
        <f t="shared" si="9"/>
        <v>54.81966234031732</v>
      </c>
      <c r="P14" s="24">
        <f t="shared" si="9"/>
        <v>54.81966234031732</v>
      </c>
      <c r="Q14" s="24">
        <f t="shared" si="9"/>
        <v>54.81966234031732</v>
      </c>
      <c r="R14" s="24">
        <f t="shared" si="9"/>
        <v>54.81966234031732</v>
      </c>
      <c r="S14" s="24">
        <f t="shared" si="9"/>
        <v>54.81966234031732</v>
      </c>
      <c r="T14" s="24">
        <f t="shared" si="9"/>
        <v>54.81966234031732</v>
      </c>
      <c r="U14" s="24">
        <f t="shared" si="9"/>
        <v>54.81966234031732</v>
      </c>
      <c r="V14" s="24">
        <f t="shared" si="9"/>
        <v>54.81966234031732</v>
      </c>
      <c r="W14" s="24">
        <f t="shared" si="9"/>
        <v>54.81966234031732</v>
      </c>
      <c r="X14" s="24"/>
      <c r="Y14" s="23"/>
      <c r="Z14" s="23"/>
      <c r="AA14" s="24">
        <f t="shared" si="4"/>
        <v>1006.2933468063466</v>
      </c>
    </row>
    <row r="15" spans="1:27" ht="19.5" customHeight="1">
      <c r="A15" s="31" t="s">
        <v>68</v>
      </c>
      <c r="B15" s="23"/>
      <c r="C15" s="23"/>
      <c r="D15" s="24">
        <f aca="true" t="shared" si="10" ref="D15:W15">D13-D14</f>
        <v>93.00751656973517</v>
      </c>
      <c r="E15" s="24">
        <f t="shared" si="10"/>
        <v>93.00751656973517</v>
      </c>
      <c r="F15" s="24">
        <f t="shared" si="10"/>
        <v>93.00751656973517</v>
      </c>
      <c r="G15" s="24">
        <f t="shared" si="10"/>
        <v>93.00751656973517</v>
      </c>
      <c r="H15" s="24">
        <f t="shared" si="10"/>
        <v>93.00751656973517</v>
      </c>
      <c r="I15" s="24">
        <f t="shared" si="10"/>
        <v>93.00751656973517</v>
      </c>
      <c r="J15" s="24">
        <f t="shared" si="10"/>
        <v>93.00751656973517</v>
      </c>
      <c r="K15" s="24">
        <f t="shared" si="10"/>
        <v>93.00751656973517</v>
      </c>
      <c r="L15" s="24">
        <f t="shared" si="10"/>
        <v>93.00751656973517</v>
      </c>
      <c r="M15" s="24">
        <f t="shared" si="10"/>
        <v>93.00751656973517</v>
      </c>
      <c r="N15" s="35">
        <f t="shared" si="10"/>
        <v>111.30052656973517</v>
      </c>
      <c r="O15" s="35">
        <f t="shared" si="10"/>
        <v>111.30052656973517</v>
      </c>
      <c r="P15" s="35">
        <f t="shared" si="10"/>
        <v>111.30052656973517</v>
      </c>
      <c r="Q15" s="35">
        <f t="shared" si="10"/>
        <v>111.30052656973517</v>
      </c>
      <c r="R15" s="35">
        <f t="shared" si="10"/>
        <v>111.30052656973517</v>
      </c>
      <c r="S15" s="35">
        <f t="shared" si="10"/>
        <v>111.30052656973517</v>
      </c>
      <c r="T15" s="35">
        <f t="shared" si="10"/>
        <v>111.30052656973517</v>
      </c>
      <c r="U15" s="35">
        <f t="shared" si="10"/>
        <v>111.30052656973517</v>
      </c>
      <c r="V15" s="35">
        <f t="shared" si="10"/>
        <v>111.30052656973517</v>
      </c>
      <c r="W15" s="35">
        <f t="shared" si="10"/>
        <v>111.30052656973517</v>
      </c>
      <c r="X15" s="36"/>
      <c r="Y15" s="23"/>
      <c r="Z15" s="23"/>
      <c r="AA15" s="24">
        <f t="shared" si="4"/>
        <v>2043.0804313947037</v>
      </c>
    </row>
    <row r="16" spans="1:27" ht="19.5" customHeight="1">
      <c r="A16" s="31" t="s">
        <v>69</v>
      </c>
      <c r="B16" s="23"/>
      <c r="C16" s="23"/>
      <c r="D16" s="24">
        <f aca="true" t="shared" si="11" ref="D16:W16">D15</f>
        <v>93.00751656973517</v>
      </c>
      <c r="E16" s="24">
        <f t="shared" si="11"/>
        <v>93.00751656973517</v>
      </c>
      <c r="F16" s="24">
        <f t="shared" si="11"/>
        <v>93.00751656973517</v>
      </c>
      <c r="G16" s="24">
        <f t="shared" si="11"/>
        <v>93.00751656973517</v>
      </c>
      <c r="H16" s="24">
        <f t="shared" si="11"/>
        <v>93.00751656973517</v>
      </c>
      <c r="I16" s="24">
        <f t="shared" si="11"/>
        <v>93.00751656973517</v>
      </c>
      <c r="J16" s="24">
        <f t="shared" si="11"/>
        <v>93.00751656973517</v>
      </c>
      <c r="K16" s="24">
        <f t="shared" si="11"/>
        <v>93.00751656973517</v>
      </c>
      <c r="L16" s="24">
        <f t="shared" si="11"/>
        <v>93.00751656973517</v>
      </c>
      <c r="M16" s="24">
        <f t="shared" si="11"/>
        <v>93.00751656973517</v>
      </c>
      <c r="N16" s="35">
        <f t="shared" si="11"/>
        <v>111.30052656973517</v>
      </c>
      <c r="O16" s="35">
        <f t="shared" si="11"/>
        <v>111.30052656973517</v>
      </c>
      <c r="P16" s="35">
        <f t="shared" si="11"/>
        <v>111.30052656973517</v>
      </c>
      <c r="Q16" s="35">
        <f t="shared" si="11"/>
        <v>111.30052656973517</v>
      </c>
      <c r="R16" s="35">
        <f t="shared" si="11"/>
        <v>111.30052656973517</v>
      </c>
      <c r="S16" s="35">
        <f t="shared" si="11"/>
        <v>111.30052656973517</v>
      </c>
      <c r="T16" s="35">
        <f t="shared" si="11"/>
        <v>111.30052656973517</v>
      </c>
      <c r="U16" s="35">
        <f t="shared" si="11"/>
        <v>111.30052656973517</v>
      </c>
      <c r="V16" s="35">
        <f t="shared" si="11"/>
        <v>111.30052656973517</v>
      </c>
      <c r="W16" s="35">
        <f t="shared" si="11"/>
        <v>111.30052656973517</v>
      </c>
      <c r="X16" s="36"/>
      <c r="Y16" s="23"/>
      <c r="Z16" s="23"/>
      <c r="AA16" s="24">
        <f t="shared" si="4"/>
        <v>2043.0804313947037</v>
      </c>
    </row>
    <row r="17" spans="1:27" ht="19.5" customHeight="1">
      <c r="A17" s="31" t="s">
        <v>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7"/>
      <c r="O17" s="37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:27" ht="19.5" customHeight="1">
      <c r="A18" s="31" t="s">
        <v>71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7"/>
      <c r="O18" s="37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</row>
    <row r="19" spans="1:27" ht="19.5" customHeight="1">
      <c r="A19" s="31" t="s">
        <v>72</v>
      </c>
      <c r="B19" s="23"/>
      <c r="C19" s="23"/>
      <c r="D19" s="33">
        <f aca="true" t="shared" si="12" ref="D19:W19">D16-D17-D18</f>
        <v>93.00751656973517</v>
      </c>
      <c r="E19" s="33">
        <f t="shared" si="12"/>
        <v>93.00751656973517</v>
      </c>
      <c r="F19" s="33">
        <f t="shared" si="12"/>
        <v>93.00751656973517</v>
      </c>
      <c r="G19" s="33">
        <f t="shared" si="12"/>
        <v>93.00751656973517</v>
      </c>
      <c r="H19" s="33">
        <f t="shared" si="12"/>
        <v>93.00751656973517</v>
      </c>
      <c r="I19" s="33">
        <f t="shared" si="12"/>
        <v>93.00751656973517</v>
      </c>
      <c r="J19" s="33">
        <f t="shared" si="12"/>
        <v>93.00751656973517</v>
      </c>
      <c r="K19" s="33">
        <f t="shared" si="12"/>
        <v>93.00751656973517</v>
      </c>
      <c r="L19" s="33">
        <f t="shared" si="12"/>
        <v>93.00751656973517</v>
      </c>
      <c r="M19" s="33">
        <f t="shared" si="12"/>
        <v>93.00751656973517</v>
      </c>
      <c r="N19" s="35">
        <f t="shared" si="12"/>
        <v>111.30052656973517</v>
      </c>
      <c r="O19" s="35">
        <f t="shared" si="12"/>
        <v>111.30052656973517</v>
      </c>
      <c r="P19" s="35">
        <f t="shared" si="12"/>
        <v>111.30052656973517</v>
      </c>
      <c r="Q19" s="35">
        <f t="shared" si="12"/>
        <v>111.30052656973517</v>
      </c>
      <c r="R19" s="35">
        <f t="shared" si="12"/>
        <v>111.30052656973517</v>
      </c>
      <c r="S19" s="35">
        <f t="shared" si="12"/>
        <v>111.30052656973517</v>
      </c>
      <c r="T19" s="35">
        <f t="shared" si="12"/>
        <v>111.30052656973517</v>
      </c>
      <c r="U19" s="35">
        <f t="shared" si="12"/>
        <v>111.30052656973517</v>
      </c>
      <c r="V19" s="36">
        <f t="shared" si="12"/>
        <v>111.30052656973517</v>
      </c>
      <c r="W19" s="36">
        <f t="shared" si="12"/>
        <v>111.30052656973517</v>
      </c>
      <c r="X19" s="36"/>
      <c r="Y19" s="23"/>
      <c r="Z19" s="23"/>
      <c r="AA19" s="24">
        <f>SUM(D19:W19)</f>
        <v>2043.0804313947037</v>
      </c>
    </row>
    <row r="20" spans="1:27" ht="19.5" customHeight="1">
      <c r="A20" s="31" t="s">
        <v>73</v>
      </c>
      <c r="B20" s="23"/>
      <c r="C20" s="23"/>
      <c r="D20" s="35">
        <f>D19</f>
        <v>93.00751656973517</v>
      </c>
      <c r="E20" s="35">
        <f aca="true" t="shared" si="13" ref="E20:W20">D20+E19</f>
        <v>186.01503313947035</v>
      </c>
      <c r="F20" s="35">
        <f t="shared" si="13"/>
        <v>279.0225497092055</v>
      </c>
      <c r="G20" s="35">
        <f t="shared" si="13"/>
        <v>372.0300662789407</v>
      </c>
      <c r="H20" s="35">
        <f t="shared" si="13"/>
        <v>465.03758284867587</v>
      </c>
      <c r="I20" s="35">
        <f t="shared" si="13"/>
        <v>558.045099418411</v>
      </c>
      <c r="J20" s="35">
        <f t="shared" si="13"/>
        <v>651.0526159881463</v>
      </c>
      <c r="K20" s="35">
        <f t="shared" si="13"/>
        <v>744.0601325578814</v>
      </c>
      <c r="L20" s="35">
        <f t="shared" si="13"/>
        <v>837.0676491276165</v>
      </c>
      <c r="M20" s="35">
        <f t="shared" si="13"/>
        <v>930.0751656973516</v>
      </c>
      <c r="N20" s="35">
        <f t="shared" si="13"/>
        <v>1041.3756922670868</v>
      </c>
      <c r="O20" s="35">
        <f t="shared" si="13"/>
        <v>1152.676218836822</v>
      </c>
      <c r="P20" s="35">
        <f t="shared" si="13"/>
        <v>1263.9767454065573</v>
      </c>
      <c r="Q20" s="35">
        <f t="shared" si="13"/>
        <v>1375.2772719762925</v>
      </c>
      <c r="R20" s="35">
        <f t="shared" si="13"/>
        <v>1486.5777985460277</v>
      </c>
      <c r="S20" s="35">
        <f t="shared" si="13"/>
        <v>1597.878325115763</v>
      </c>
      <c r="T20" s="35">
        <f t="shared" si="13"/>
        <v>1709.178851685498</v>
      </c>
      <c r="U20" s="35">
        <f t="shared" si="13"/>
        <v>1820.4793782552333</v>
      </c>
      <c r="V20" s="35">
        <f t="shared" si="13"/>
        <v>1931.7799048249685</v>
      </c>
      <c r="W20" s="35">
        <f t="shared" si="13"/>
        <v>2043.0804313947037</v>
      </c>
      <c r="X20" s="35"/>
      <c r="Y20" s="23"/>
      <c r="Z20" s="23"/>
      <c r="AA20" s="24"/>
    </row>
    <row r="21" spans="1:27" ht="15.75">
      <c r="A21" s="2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ht="14.25" hidden="1"/>
    <row r="23" spans="7:13" ht="14.25" hidden="1">
      <c r="G23" s="86" t="s">
        <v>74</v>
      </c>
      <c r="H23" s="86"/>
      <c r="I23" s="39">
        <f>AA12/20/'数据表'!D2</f>
        <v>0.060896617810248105</v>
      </c>
      <c r="K23" s="86" t="s">
        <v>75</v>
      </c>
      <c r="L23" s="86"/>
      <c r="M23" s="39">
        <f>(AA12+AA6)/20/'数据表'!D2</f>
        <v>0.08306727518943836</v>
      </c>
    </row>
    <row r="24" ht="14.25" hidden="1"/>
  </sheetData>
  <mergeCells count="2">
    <mergeCell ref="G23:H23"/>
    <mergeCell ref="K23:L23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1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zoomScale="75" zoomScaleNormal="75" workbookViewId="0" topLeftCell="A3">
      <selection activeCell="D16" sqref="D16"/>
    </sheetView>
  </sheetViews>
  <sheetFormatPr defaultColWidth="9.00390625" defaultRowHeight="14.25"/>
  <cols>
    <col min="1" max="1" width="17.50390625" style="0" customWidth="1"/>
    <col min="2" max="26" width="7.875" style="0" customWidth="1"/>
  </cols>
  <sheetData>
    <row r="1" spans="4:28" ht="51" customHeight="1">
      <c r="D1" s="85" t="s">
        <v>76</v>
      </c>
      <c r="E1" s="85"/>
      <c r="F1" s="85"/>
      <c r="G1" s="85"/>
      <c r="H1" s="85"/>
      <c r="I1" s="85"/>
      <c r="J1" s="85"/>
      <c r="K1" s="40"/>
      <c r="L1" s="40"/>
      <c r="M1" s="40"/>
      <c r="N1" s="40"/>
      <c r="O1" s="40"/>
      <c r="P1" s="85" t="s">
        <v>76</v>
      </c>
      <c r="Q1" s="85"/>
      <c r="R1" s="85"/>
      <c r="S1" s="85"/>
      <c r="T1" s="85"/>
      <c r="U1" s="85"/>
      <c r="V1" s="85"/>
      <c r="W1" s="40"/>
      <c r="X1" s="40"/>
      <c r="Y1" s="40"/>
      <c r="Z1" s="40"/>
      <c r="AA1" s="40"/>
      <c r="AB1" s="40"/>
    </row>
    <row r="2" ht="10.5" customHeight="1"/>
    <row r="3" spans="1:26" ht="33" customHeight="1">
      <c r="A3" s="20" t="s">
        <v>31</v>
      </c>
      <c r="B3" s="41" t="s">
        <v>77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  <c r="S3" s="20">
        <v>17</v>
      </c>
      <c r="T3" s="20">
        <v>18</v>
      </c>
      <c r="U3" s="20">
        <v>19</v>
      </c>
      <c r="V3" s="20">
        <v>20</v>
      </c>
      <c r="W3" s="20">
        <v>21</v>
      </c>
      <c r="X3" s="20">
        <v>22</v>
      </c>
      <c r="Y3" s="20">
        <v>23</v>
      </c>
      <c r="Z3" s="20">
        <v>24</v>
      </c>
    </row>
    <row r="4" spans="1:26" ht="19.5" customHeight="1">
      <c r="A4" s="21" t="s">
        <v>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9.5" customHeight="1">
      <c r="A5" s="42" t="s">
        <v>79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9.5" customHeight="1">
      <c r="A6" s="42" t="s">
        <v>80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9.5" customHeight="1">
      <c r="A7" s="42" t="s">
        <v>81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9.5" customHeight="1">
      <c r="A8" s="42" t="s">
        <v>82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9.5" customHeight="1">
      <c r="A9" s="42" t="s">
        <v>83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9.5" customHeight="1">
      <c r="A10" s="21" t="s">
        <v>84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9.5" customHeight="1">
      <c r="A11" s="42" t="s">
        <v>79</v>
      </c>
      <c r="B11" s="23">
        <f>'数据表'!D21</f>
        <v>0.0589</v>
      </c>
      <c r="C11" s="23"/>
      <c r="D11" s="24">
        <f>C12</f>
        <v>0</v>
      </c>
      <c r="E11" s="24">
        <f>D11+D12</f>
        <v>0</v>
      </c>
      <c r="F11" s="35">
        <f aca="true" t="shared" si="0" ref="F11:X11">E11-E14</f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3">
        <f t="shared" si="0"/>
        <v>0</v>
      </c>
      <c r="P11" s="43">
        <f t="shared" si="0"/>
        <v>0</v>
      </c>
      <c r="Q11" s="43">
        <f t="shared" si="0"/>
        <v>0</v>
      </c>
      <c r="R11" s="43">
        <f t="shared" si="0"/>
        <v>0</v>
      </c>
      <c r="S11" s="43">
        <f t="shared" si="0"/>
        <v>0</v>
      </c>
      <c r="T11" s="43">
        <f t="shared" si="0"/>
        <v>0</v>
      </c>
      <c r="U11" s="43">
        <f t="shared" si="0"/>
        <v>0</v>
      </c>
      <c r="V11" s="43">
        <f t="shared" si="0"/>
        <v>0</v>
      </c>
      <c r="W11" s="43">
        <f t="shared" si="0"/>
        <v>0</v>
      </c>
      <c r="X11" s="43">
        <f t="shared" si="0"/>
        <v>0</v>
      </c>
      <c r="Y11" s="43"/>
      <c r="Z11" s="23"/>
    </row>
    <row r="12" spans="1:26" ht="19.5" customHeight="1">
      <c r="A12" s="42" t="s">
        <v>85</v>
      </c>
      <c r="B12" s="23"/>
      <c r="C12" s="24">
        <f>'数据表'!D17</f>
        <v>0</v>
      </c>
      <c r="D12" s="24">
        <f>'数据表'!D18</f>
        <v>0</v>
      </c>
      <c r="E12" s="23"/>
      <c r="F12" s="23"/>
      <c r="G12" s="23"/>
      <c r="H12" s="23"/>
      <c r="I12" s="23"/>
      <c r="J12" s="23"/>
      <c r="K12" s="23"/>
      <c r="L12" s="23"/>
      <c r="M12" s="2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5"/>
      <c r="Z12" s="23"/>
    </row>
    <row r="13" spans="1:26" ht="19.5" customHeight="1">
      <c r="A13" s="42" t="s">
        <v>81</v>
      </c>
      <c r="B13" s="23"/>
      <c r="C13" s="24">
        <f>C12*B11*0.5</f>
        <v>0</v>
      </c>
      <c r="D13" s="24">
        <f>(D11+D12*0.5)*B11</f>
        <v>0</v>
      </c>
      <c r="E13" s="24">
        <f>E11*B11</f>
        <v>0</v>
      </c>
      <c r="F13" s="24">
        <f>F11*B11</f>
        <v>0</v>
      </c>
      <c r="G13" s="24">
        <f>G11*B11</f>
        <v>0</v>
      </c>
      <c r="H13" s="24">
        <f>H11*B11</f>
        <v>0</v>
      </c>
      <c r="I13" s="24">
        <f>I11*B11</f>
        <v>0</v>
      </c>
      <c r="J13" s="24">
        <f>J11*B11</f>
        <v>0</v>
      </c>
      <c r="K13" s="24">
        <f>K11*B11</f>
        <v>0</v>
      </c>
      <c r="L13" s="24">
        <f>L11*B11</f>
        <v>0</v>
      </c>
      <c r="M13" s="24">
        <f>M11*B11</f>
        <v>0</v>
      </c>
      <c r="N13" s="24">
        <f>N11*C11</f>
        <v>0</v>
      </c>
      <c r="O13" s="24">
        <f>O11*D11</f>
        <v>0</v>
      </c>
      <c r="P13" s="24">
        <f>P11*E11</f>
        <v>0</v>
      </c>
      <c r="Q13" s="24">
        <f aca="true" t="shared" si="1" ref="Q13:X13">Q11*E11</f>
        <v>0</v>
      </c>
      <c r="R13" s="24">
        <f t="shared" si="1"/>
        <v>0</v>
      </c>
      <c r="S13" s="24">
        <f t="shared" si="1"/>
        <v>0</v>
      </c>
      <c r="T13" s="24">
        <f t="shared" si="1"/>
        <v>0</v>
      </c>
      <c r="U13" s="24">
        <f t="shared" si="1"/>
        <v>0</v>
      </c>
      <c r="V13" s="24">
        <f t="shared" si="1"/>
        <v>0</v>
      </c>
      <c r="W13" s="24">
        <f t="shared" si="1"/>
        <v>0</v>
      </c>
      <c r="X13" s="24">
        <f t="shared" si="1"/>
        <v>0</v>
      </c>
      <c r="Y13" s="24"/>
      <c r="Z13" s="23"/>
    </row>
    <row r="14" spans="1:26" ht="19.5" customHeight="1">
      <c r="A14" s="42" t="s">
        <v>82</v>
      </c>
      <c r="B14" s="23"/>
      <c r="C14" s="24"/>
      <c r="D14" s="24"/>
      <c r="E14" s="24">
        <f aca="true" t="shared" si="2" ref="E14:X14">IF(E11&lt;E21,E11)</f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0</v>
      </c>
      <c r="U14" s="24">
        <f t="shared" si="2"/>
        <v>0</v>
      </c>
      <c r="V14" s="24">
        <f t="shared" si="2"/>
        <v>0</v>
      </c>
      <c r="W14" s="24">
        <f t="shared" si="2"/>
        <v>0</v>
      </c>
      <c r="X14" s="24">
        <f t="shared" si="2"/>
        <v>0</v>
      </c>
      <c r="Y14" s="24"/>
      <c r="Z14" s="23"/>
    </row>
    <row r="15" spans="1:26" ht="19.5" customHeight="1">
      <c r="A15" s="42" t="s">
        <v>83</v>
      </c>
      <c r="B15" s="23"/>
      <c r="C15" s="24"/>
      <c r="D15" s="24"/>
      <c r="E15" s="24">
        <f aca="true" t="shared" si="3" ref="E15:X15">E13</f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35">
        <f t="shared" si="3"/>
        <v>0</v>
      </c>
      <c r="O15" s="35">
        <f t="shared" si="3"/>
        <v>0</v>
      </c>
      <c r="P15" s="35">
        <f t="shared" si="3"/>
        <v>0</v>
      </c>
      <c r="Q15" s="35">
        <f t="shared" si="3"/>
        <v>0</v>
      </c>
      <c r="R15" s="35">
        <f t="shared" si="3"/>
        <v>0</v>
      </c>
      <c r="S15" s="35">
        <f t="shared" si="3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  <c r="W15" s="35">
        <f t="shared" si="3"/>
        <v>0</v>
      </c>
      <c r="X15" s="35">
        <f t="shared" si="3"/>
        <v>0</v>
      </c>
      <c r="Y15" s="35"/>
      <c r="Z15" s="23"/>
    </row>
    <row r="16" spans="1:26" ht="19.5" customHeight="1">
      <c r="A16" s="21" t="s">
        <v>86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23"/>
    </row>
    <row r="17" spans="1:26" ht="19.5" customHeight="1">
      <c r="A17" s="42" t="s">
        <v>87</v>
      </c>
      <c r="B17" s="23"/>
      <c r="C17" s="23"/>
      <c r="D17" s="23"/>
      <c r="E17" s="24">
        <f>'损益表'!D19</f>
        <v>93.00751656973517</v>
      </c>
      <c r="F17" s="24">
        <f>'损益表'!E19</f>
        <v>93.00751656973517</v>
      </c>
      <c r="G17" s="24">
        <f>'损益表'!F19</f>
        <v>93.00751656973517</v>
      </c>
      <c r="H17" s="24">
        <f>'损益表'!G19</f>
        <v>93.00751656973517</v>
      </c>
      <c r="I17" s="24">
        <f>'损益表'!H19</f>
        <v>93.00751656973517</v>
      </c>
      <c r="J17" s="24">
        <f>'损益表'!I19</f>
        <v>93.00751656973517</v>
      </c>
      <c r="K17" s="24">
        <f>'损益表'!J19</f>
        <v>93.00751656973517</v>
      </c>
      <c r="L17" s="24">
        <f>'损益表'!K19</f>
        <v>93.00751656973517</v>
      </c>
      <c r="M17" s="24">
        <f>'损益表'!L19</f>
        <v>93.00751656973517</v>
      </c>
      <c r="N17" s="24">
        <f>'损益表'!M19</f>
        <v>93.00751656973517</v>
      </c>
      <c r="O17" s="24">
        <f>'损益表'!N19</f>
        <v>111.30052656973517</v>
      </c>
      <c r="P17" s="24">
        <f>'损益表'!O19</f>
        <v>111.30052656973517</v>
      </c>
      <c r="Q17" s="24">
        <f>'损益表'!P19</f>
        <v>111.30052656973517</v>
      </c>
      <c r="R17" s="24">
        <f>'损益表'!Q19</f>
        <v>111.30052656973517</v>
      </c>
      <c r="S17" s="24">
        <f>'损益表'!R19</f>
        <v>111.30052656973517</v>
      </c>
      <c r="T17" s="24">
        <f>'损益表'!S19</f>
        <v>111.30052656973517</v>
      </c>
      <c r="U17" s="24">
        <f>'损益表'!T19</f>
        <v>111.30052656973517</v>
      </c>
      <c r="V17" s="24">
        <f>'损益表'!U19</f>
        <v>111.30052656973517</v>
      </c>
      <c r="W17" s="24">
        <f>'损益表'!V19</f>
        <v>111.30052656973517</v>
      </c>
      <c r="X17" s="24">
        <f>'损益表'!W19</f>
        <v>111.30052656973517</v>
      </c>
      <c r="Y17" s="24"/>
      <c r="Z17" s="23"/>
    </row>
    <row r="18" spans="1:26" ht="19.5" customHeight="1">
      <c r="A18" s="42" t="s">
        <v>88</v>
      </c>
      <c r="B18" s="23"/>
      <c r="C18" s="23"/>
      <c r="D18" s="23"/>
      <c r="E18" s="24">
        <f>'成本表'!G13</f>
        <v>98.15079999999999</v>
      </c>
      <c r="F18" s="24">
        <f>'成本表'!H13</f>
        <v>98.15079999999999</v>
      </c>
      <c r="G18" s="24">
        <f>'成本表'!I13</f>
        <v>98.15079999999999</v>
      </c>
      <c r="H18" s="24">
        <f>'成本表'!J13</f>
        <v>98.15079999999999</v>
      </c>
      <c r="I18" s="24">
        <f>'成本表'!K13</f>
        <v>98.15079999999999</v>
      </c>
      <c r="J18" s="24">
        <f>'成本表'!L13</f>
        <v>98.15079999999999</v>
      </c>
      <c r="K18" s="24">
        <f>'成本表'!M13</f>
        <v>98.15079999999999</v>
      </c>
      <c r="L18" s="24">
        <f>'成本表'!N13</f>
        <v>98.15079999999999</v>
      </c>
      <c r="M18" s="24">
        <f>'成本表'!O13</f>
        <v>98.15079999999999</v>
      </c>
      <c r="N18" s="24">
        <f>'成本表'!P13</f>
        <v>98.15079999999999</v>
      </c>
      <c r="O18" s="24">
        <f>'成本表'!Q13</f>
        <v>98.15079999999999</v>
      </c>
      <c r="P18" s="24">
        <f>'成本表'!R13</f>
        <v>98.15079999999999</v>
      </c>
      <c r="Q18" s="24">
        <f>'成本表'!S13</f>
        <v>98.15079999999999</v>
      </c>
      <c r="R18" s="24">
        <f>'成本表'!T13</f>
        <v>98.15079999999999</v>
      </c>
      <c r="S18" s="24">
        <f>'成本表'!U13</f>
        <v>98.15079999999999</v>
      </c>
      <c r="T18" s="24">
        <f>'成本表'!V13</f>
        <v>98.15079999999999</v>
      </c>
      <c r="U18" s="24">
        <f>'成本表'!W13</f>
        <v>98.15079999999999</v>
      </c>
      <c r="V18" s="24">
        <f>'成本表'!X13</f>
        <v>98.15079999999999</v>
      </c>
      <c r="W18" s="24">
        <f>'成本表'!Y13</f>
        <v>98.15079999999999</v>
      </c>
      <c r="X18" s="24">
        <f>'成本表'!Z13</f>
        <v>98.15079999999999</v>
      </c>
      <c r="Y18" s="24"/>
      <c r="Z18" s="23"/>
    </row>
    <row r="19" spans="1:26" ht="19.5" customHeight="1">
      <c r="A19" s="42" t="s">
        <v>89</v>
      </c>
      <c r="B19" s="23"/>
      <c r="C19" s="23"/>
      <c r="D19" s="23"/>
      <c r="E19" s="24">
        <f>'成本表'!G15</f>
        <v>27.302999999999997</v>
      </c>
      <c r="F19" s="24">
        <f>'成本表'!H15</f>
        <v>27.302999999999997</v>
      </c>
      <c r="G19" s="24">
        <f>'成本表'!I15</f>
        <v>27.302999999999997</v>
      </c>
      <c r="H19" s="24">
        <f>'成本表'!J15</f>
        <v>27.302999999999997</v>
      </c>
      <c r="I19" s="24">
        <f>'成本表'!K15</f>
        <v>27.302999999999997</v>
      </c>
      <c r="J19" s="24">
        <f>'成本表'!L15</f>
        <v>27.302999999999997</v>
      </c>
      <c r="K19" s="24">
        <f>'成本表'!M15</f>
        <v>27.302999999999997</v>
      </c>
      <c r="L19" s="24">
        <f>'成本表'!N15</f>
        <v>27.302999999999997</v>
      </c>
      <c r="M19" s="24">
        <f>'成本表'!O15</f>
        <v>27.302999999999997</v>
      </c>
      <c r="N19" s="24">
        <f>'成本表'!P15</f>
        <v>27.302999999999997</v>
      </c>
      <c r="O19" s="24">
        <f>'成本表'!Q15</f>
        <v>0</v>
      </c>
      <c r="P19" s="24">
        <f>'成本表'!R15</f>
        <v>0</v>
      </c>
      <c r="Q19" s="24">
        <f>'成本表'!S15</f>
        <v>0</v>
      </c>
      <c r="R19" s="24">
        <f>'成本表'!T15</f>
        <v>0</v>
      </c>
      <c r="S19" s="24">
        <f>'成本表'!U15</f>
        <v>0</v>
      </c>
      <c r="T19" s="24">
        <f>'成本表'!V15</f>
        <v>0</v>
      </c>
      <c r="U19" s="24">
        <f>'成本表'!W15</f>
        <v>0</v>
      </c>
      <c r="V19" s="24">
        <f>'成本表'!X15</f>
        <v>0</v>
      </c>
      <c r="W19" s="24">
        <f>'成本表'!Y15</f>
        <v>0</v>
      </c>
      <c r="X19" s="24">
        <f>'成本表'!Z15</f>
        <v>0</v>
      </c>
      <c r="Y19" s="24"/>
      <c r="Z19" s="23"/>
    </row>
    <row r="20" spans="1:26" ht="19.5" customHeight="1">
      <c r="A20" s="42" t="s">
        <v>90</v>
      </c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3"/>
    </row>
    <row r="21" spans="1:26" ht="19.5" customHeight="1">
      <c r="A21" s="42" t="s">
        <v>91</v>
      </c>
      <c r="B21" s="23"/>
      <c r="C21" s="23"/>
      <c r="D21" s="23"/>
      <c r="E21" s="24">
        <f aca="true" t="shared" si="4" ref="E21:X21">SUM(E17:E20)</f>
        <v>218.46131656973517</v>
      </c>
      <c r="F21" s="24">
        <f t="shared" si="4"/>
        <v>218.46131656973517</v>
      </c>
      <c r="G21" s="24">
        <f t="shared" si="4"/>
        <v>218.46131656973517</v>
      </c>
      <c r="H21" s="24">
        <f t="shared" si="4"/>
        <v>218.46131656973517</v>
      </c>
      <c r="I21" s="24">
        <f t="shared" si="4"/>
        <v>218.46131656973517</v>
      </c>
      <c r="J21" s="24">
        <f t="shared" si="4"/>
        <v>218.46131656973517</v>
      </c>
      <c r="K21" s="24">
        <f t="shared" si="4"/>
        <v>218.46131656973517</v>
      </c>
      <c r="L21" s="24">
        <f t="shared" si="4"/>
        <v>218.46131656973517</v>
      </c>
      <c r="M21" s="24">
        <f t="shared" si="4"/>
        <v>218.46131656973517</v>
      </c>
      <c r="N21" s="24">
        <f t="shared" si="4"/>
        <v>218.46131656973517</v>
      </c>
      <c r="O21" s="24">
        <f t="shared" si="4"/>
        <v>209.45132656973516</v>
      </c>
      <c r="P21" s="24">
        <f t="shared" si="4"/>
        <v>209.45132656973516</v>
      </c>
      <c r="Q21" s="24">
        <f t="shared" si="4"/>
        <v>209.45132656973516</v>
      </c>
      <c r="R21" s="24">
        <f t="shared" si="4"/>
        <v>209.45132656973516</v>
      </c>
      <c r="S21" s="24">
        <f t="shared" si="4"/>
        <v>209.45132656973516</v>
      </c>
      <c r="T21" s="24">
        <f t="shared" si="4"/>
        <v>209.45132656973516</v>
      </c>
      <c r="U21" s="24">
        <f t="shared" si="4"/>
        <v>209.45132656973516</v>
      </c>
      <c r="V21" s="24">
        <f t="shared" si="4"/>
        <v>209.45132656973516</v>
      </c>
      <c r="W21" s="24">
        <f t="shared" si="4"/>
        <v>209.45132656973516</v>
      </c>
      <c r="X21" s="24">
        <f t="shared" si="4"/>
        <v>209.45132656973516</v>
      </c>
      <c r="Y21" s="24"/>
      <c r="Z21" s="23"/>
    </row>
    <row r="25" spans="8:11" ht="14.25">
      <c r="H25" s="86" t="s">
        <v>92</v>
      </c>
      <c r="I25" s="86"/>
      <c r="J25">
        <v>7.18</v>
      </c>
      <c r="K25" t="s">
        <v>93</v>
      </c>
    </row>
  </sheetData>
  <mergeCells count="3">
    <mergeCell ref="H25:I25"/>
    <mergeCell ref="D1:J1"/>
    <mergeCell ref="P1:V1"/>
  </mergeCells>
  <printOptions verticalCentered="1"/>
  <pageMargins left="0.5902777777777778" right="0" top="0" bottom="0.5902777777777778" header="0.39305555555555555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2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selection activeCell="AB6" sqref="AB6"/>
    </sheetView>
  </sheetViews>
  <sheetFormatPr defaultColWidth="9.00390625" defaultRowHeight="14.25"/>
  <cols>
    <col min="1" max="1" width="16.625" style="0" customWidth="1"/>
    <col min="2" max="27" width="8.125" style="0" customWidth="1"/>
  </cols>
  <sheetData>
    <row r="1" spans="3:24" ht="50.25" customHeight="1">
      <c r="C1" s="46"/>
      <c r="D1" s="85" t="s">
        <v>94</v>
      </c>
      <c r="E1" s="85"/>
      <c r="F1" s="85"/>
      <c r="G1" s="85"/>
      <c r="H1" s="85"/>
      <c r="I1" s="85"/>
      <c r="J1" s="46"/>
      <c r="K1" s="18"/>
      <c r="L1" s="18"/>
      <c r="M1" s="18"/>
      <c r="N1" s="18"/>
      <c r="O1" s="18"/>
      <c r="P1" s="46"/>
      <c r="Q1" s="85" t="s">
        <v>94</v>
      </c>
      <c r="R1" s="85"/>
      <c r="S1" s="85"/>
      <c r="T1" s="85"/>
      <c r="U1" s="85"/>
      <c r="V1" s="85"/>
      <c r="W1" s="46"/>
      <c r="X1" s="18"/>
    </row>
    <row r="2" ht="10.5" customHeight="1"/>
    <row r="3" spans="1:27" ht="25.5" customHeight="1">
      <c r="A3" s="20" t="s">
        <v>31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0">
        <v>14</v>
      </c>
      <c r="P3" s="20">
        <v>15</v>
      </c>
      <c r="Q3" s="20">
        <v>16</v>
      </c>
      <c r="R3" s="20">
        <v>17</v>
      </c>
      <c r="S3" s="20">
        <v>18</v>
      </c>
      <c r="T3" s="20">
        <v>19</v>
      </c>
      <c r="U3" s="20">
        <v>20</v>
      </c>
      <c r="V3" s="20">
        <v>21</v>
      </c>
      <c r="W3" s="20">
        <v>22</v>
      </c>
      <c r="X3" s="20">
        <v>23</v>
      </c>
      <c r="Y3" s="20">
        <v>24</v>
      </c>
      <c r="Z3" s="20"/>
      <c r="AA3" s="20" t="s">
        <v>29</v>
      </c>
    </row>
    <row r="4" spans="1:27" ht="18" customHeight="1">
      <c r="A4" s="47" t="s">
        <v>35</v>
      </c>
      <c r="B4" s="23"/>
      <c r="C4" s="23"/>
      <c r="D4" s="24">
        <f>'数据表'!J2</f>
        <v>100</v>
      </c>
      <c r="E4" s="24">
        <f>'数据表'!J3</f>
        <v>100</v>
      </c>
      <c r="F4" s="24">
        <f>'数据表'!J4</f>
        <v>100</v>
      </c>
      <c r="G4" s="24">
        <f>'数据表'!J5</f>
        <v>100</v>
      </c>
      <c r="H4" s="24">
        <f>'数据表'!J6</f>
        <v>100</v>
      </c>
      <c r="I4" s="24">
        <f>'数据表'!J7</f>
        <v>100</v>
      </c>
      <c r="J4" s="24">
        <f>'数据表'!J8</f>
        <v>100</v>
      </c>
      <c r="K4" s="24">
        <f>'数据表'!J9</f>
        <v>100</v>
      </c>
      <c r="L4" s="24">
        <f>'数据表'!J10</f>
        <v>100</v>
      </c>
      <c r="M4" s="24">
        <f>'数据表'!J11</f>
        <v>100</v>
      </c>
      <c r="N4" s="24">
        <v>100</v>
      </c>
      <c r="O4" s="24">
        <v>100</v>
      </c>
      <c r="P4" s="24">
        <v>100</v>
      </c>
      <c r="Q4" s="24">
        <v>100</v>
      </c>
      <c r="R4" s="24">
        <v>100</v>
      </c>
      <c r="S4" s="24">
        <v>100</v>
      </c>
      <c r="T4" s="24">
        <v>100</v>
      </c>
      <c r="U4" s="24">
        <v>100</v>
      </c>
      <c r="V4" s="24">
        <v>100</v>
      </c>
      <c r="W4" s="24">
        <v>100</v>
      </c>
      <c r="X4" s="24">
        <v>100</v>
      </c>
      <c r="Y4" s="24"/>
      <c r="Z4" s="24"/>
      <c r="AA4" s="24"/>
    </row>
    <row r="5" spans="1:27" ht="18" customHeight="1">
      <c r="A5" s="47" t="s">
        <v>95</v>
      </c>
      <c r="B5" s="23">
        <f aca="true" t="shared" si="0" ref="B5:W5">SUM(B6:B15)</f>
        <v>1250</v>
      </c>
      <c r="C5" s="23">
        <f t="shared" si="0"/>
        <v>1253.73</v>
      </c>
      <c r="D5" s="24">
        <f t="shared" si="0"/>
        <v>311.53570641005246</v>
      </c>
      <c r="E5" s="24">
        <f t="shared" si="0"/>
        <v>264.2709889100525</v>
      </c>
      <c r="F5" s="24">
        <f t="shared" si="0"/>
        <v>264.2709889100525</v>
      </c>
      <c r="G5" s="24">
        <f t="shared" si="0"/>
        <v>264.2709889100525</v>
      </c>
      <c r="H5" s="24">
        <f t="shared" si="0"/>
        <v>264.2709889100525</v>
      </c>
      <c r="I5" s="24">
        <f t="shared" si="0"/>
        <v>264.2709889100525</v>
      </c>
      <c r="J5" s="24">
        <f t="shared" si="0"/>
        <v>264.2709889100525</v>
      </c>
      <c r="K5" s="24">
        <f t="shared" si="0"/>
        <v>264.2709889100525</v>
      </c>
      <c r="L5" s="24">
        <f t="shared" si="0"/>
        <v>264.2709889100525</v>
      </c>
      <c r="M5" s="24">
        <f t="shared" si="0"/>
        <v>264.2709889100525</v>
      </c>
      <c r="N5" s="24">
        <f t="shared" si="0"/>
        <v>264.2709889100525</v>
      </c>
      <c r="O5" s="24">
        <f t="shared" si="0"/>
        <v>264.2709889100525</v>
      </c>
      <c r="P5" s="24">
        <f t="shared" si="0"/>
        <v>264.2709889100525</v>
      </c>
      <c r="Q5" s="24">
        <f t="shared" si="0"/>
        <v>264.2709889100525</v>
      </c>
      <c r="R5" s="24">
        <f t="shared" si="0"/>
        <v>264.2709889100525</v>
      </c>
      <c r="S5" s="24">
        <f t="shared" si="0"/>
        <v>264.2709889100525</v>
      </c>
      <c r="T5" s="24">
        <f t="shared" si="0"/>
        <v>264.2709889100525</v>
      </c>
      <c r="U5" s="24">
        <f t="shared" si="0"/>
        <v>264.2709889100525</v>
      </c>
      <c r="V5" s="24">
        <f t="shared" si="0"/>
        <v>264.2709889100525</v>
      </c>
      <c r="W5" s="24">
        <f t="shared" si="0"/>
        <v>579.2197064100524</v>
      </c>
      <c r="X5" s="23"/>
      <c r="Y5" s="23"/>
      <c r="Z5" s="23"/>
      <c r="AA5" s="24">
        <f>SUM(B5:Y5)</f>
        <v>8151.36321320105</v>
      </c>
    </row>
    <row r="6" spans="1:27" ht="18" customHeight="1">
      <c r="A6" s="47" t="s">
        <v>65</v>
      </c>
      <c r="B6" s="23"/>
      <c r="C6" s="23"/>
      <c r="D6" s="24">
        <f>'损益表'!D12</f>
        <v>138.8171889100525</v>
      </c>
      <c r="E6" s="24">
        <f>'损益表'!E12</f>
        <v>138.8171889100525</v>
      </c>
      <c r="F6" s="24">
        <f>'损益表'!F12</f>
        <v>138.8171889100525</v>
      </c>
      <c r="G6" s="24">
        <f>'损益表'!G12</f>
        <v>138.8171889100525</v>
      </c>
      <c r="H6" s="24">
        <f>'损益表'!H12</f>
        <v>138.8171889100525</v>
      </c>
      <c r="I6" s="24">
        <f>'损益表'!I12</f>
        <v>138.8171889100525</v>
      </c>
      <c r="J6" s="24">
        <f>'损益表'!J12</f>
        <v>138.8171889100525</v>
      </c>
      <c r="K6" s="24">
        <f>'损益表'!K12</f>
        <v>138.8171889100525</v>
      </c>
      <c r="L6" s="24">
        <f>'损益表'!L12</f>
        <v>138.8171889100525</v>
      </c>
      <c r="M6" s="24">
        <f>'损益表'!M12</f>
        <v>138.8171889100525</v>
      </c>
      <c r="N6" s="24">
        <f>'损益表'!N12</f>
        <v>166.1201889100525</v>
      </c>
      <c r="O6" s="24">
        <f>'损益表'!O12</f>
        <v>166.1201889100525</v>
      </c>
      <c r="P6" s="24">
        <f>'损益表'!P12</f>
        <v>166.1201889100525</v>
      </c>
      <c r="Q6" s="24">
        <f>'损益表'!Q12</f>
        <v>166.1201889100525</v>
      </c>
      <c r="R6" s="24">
        <f>'损益表'!R12</f>
        <v>166.1201889100525</v>
      </c>
      <c r="S6" s="24">
        <f>'损益表'!S12</f>
        <v>166.1201889100525</v>
      </c>
      <c r="T6" s="24">
        <f>'损益表'!T12</f>
        <v>166.1201889100525</v>
      </c>
      <c r="U6" s="24">
        <f>'损益表'!U12</f>
        <v>166.1201889100525</v>
      </c>
      <c r="V6" s="24">
        <f>'损益表'!V12</f>
        <v>166.1201889100525</v>
      </c>
      <c r="W6" s="24">
        <f>'损益表'!W12</f>
        <v>166.1201889100525</v>
      </c>
      <c r="X6" s="23"/>
      <c r="Y6" s="23"/>
      <c r="Z6" s="23"/>
      <c r="AA6" s="24">
        <f>SUM(D6:Y6)</f>
        <v>3049.37377820105</v>
      </c>
    </row>
    <row r="7" spans="1:27" ht="18" customHeight="1">
      <c r="A7" s="47" t="s">
        <v>44</v>
      </c>
      <c r="B7" s="23"/>
      <c r="C7" s="23"/>
      <c r="D7" s="24">
        <f>'成本表'!G13</f>
        <v>98.15079999999999</v>
      </c>
      <c r="E7" s="24">
        <f>'成本表'!H13</f>
        <v>98.15079999999999</v>
      </c>
      <c r="F7" s="24">
        <f>'成本表'!I13</f>
        <v>98.15079999999999</v>
      </c>
      <c r="G7" s="24">
        <f>'成本表'!J13</f>
        <v>98.15079999999999</v>
      </c>
      <c r="H7" s="24">
        <f>'成本表'!K13</f>
        <v>98.15079999999999</v>
      </c>
      <c r="I7" s="24">
        <f>'成本表'!L13</f>
        <v>98.15079999999999</v>
      </c>
      <c r="J7" s="24">
        <f>'成本表'!M13</f>
        <v>98.15079999999999</v>
      </c>
      <c r="K7" s="24">
        <f>'成本表'!N13</f>
        <v>98.15079999999999</v>
      </c>
      <c r="L7" s="24">
        <f>'成本表'!O13</f>
        <v>98.15079999999999</v>
      </c>
      <c r="M7" s="24">
        <f>'成本表'!P13</f>
        <v>98.15079999999999</v>
      </c>
      <c r="N7" s="24">
        <f>'成本表'!Q13</f>
        <v>98.15079999999999</v>
      </c>
      <c r="O7" s="24">
        <f>'成本表'!R13</f>
        <v>98.15079999999999</v>
      </c>
      <c r="P7" s="24">
        <f>'成本表'!S13</f>
        <v>98.15079999999999</v>
      </c>
      <c r="Q7" s="24">
        <f>'成本表'!T13</f>
        <v>98.15079999999999</v>
      </c>
      <c r="R7" s="24">
        <f>'成本表'!U13</f>
        <v>98.15079999999999</v>
      </c>
      <c r="S7" s="24">
        <f>'成本表'!V13</f>
        <v>98.15079999999999</v>
      </c>
      <c r="T7" s="24">
        <f>'成本表'!W13</f>
        <v>98.15079999999999</v>
      </c>
      <c r="U7" s="24">
        <f>'成本表'!X13</f>
        <v>98.15079999999999</v>
      </c>
      <c r="V7" s="24">
        <f>'成本表'!Y13</f>
        <v>98.15079999999999</v>
      </c>
      <c r="W7" s="24">
        <f>'成本表'!Z13</f>
        <v>98.15079999999999</v>
      </c>
      <c r="X7" s="23"/>
      <c r="Y7" s="23"/>
      <c r="Z7" s="23"/>
      <c r="AA7" s="24">
        <f>SUM(D7:Y7)</f>
        <v>1963.015999999999</v>
      </c>
    </row>
    <row r="8" spans="1:27" ht="18" customHeight="1">
      <c r="A8" s="47" t="s">
        <v>46</v>
      </c>
      <c r="B8" s="23"/>
      <c r="C8" s="23"/>
      <c r="D8" s="24">
        <f>'成本表'!G15</f>
        <v>27.302999999999997</v>
      </c>
      <c r="E8" s="24">
        <f>'成本表'!H15</f>
        <v>27.302999999999997</v>
      </c>
      <c r="F8" s="24">
        <f>'成本表'!I15</f>
        <v>27.302999999999997</v>
      </c>
      <c r="G8" s="24">
        <f>'成本表'!J15</f>
        <v>27.302999999999997</v>
      </c>
      <c r="H8" s="24">
        <f>'成本表'!K15</f>
        <v>27.302999999999997</v>
      </c>
      <c r="I8" s="24">
        <f>'成本表'!L15</f>
        <v>27.302999999999997</v>
      </c>
      <c r="J8" s="24">
        <f>'成本表'!M15</f>
        <v>27.302999999999997</v>
      </c>
      <c r="K8" s="24">
        <f>'成本表'!N15</f>
        <v>27.302999999999997</v>
      </c>
      <c r="L8" s="24">
        <f>'成本表'!O15</f>
        <v>27.302999999999997</v>
      </c>
      <c r="M8" s="24">
        <f>'成本表'!P15</f>
        <v>27.302999999999997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>
        <f>SUM(D8:V8)</f>
        <v>273.03</v>
      </c>
    </row>
    <row r="9" spans="1:27" ht="18" customHeight="1">
      <c r="A9" s="47" t="s">
        <v>96</v>
      </c>
      <c r="B9" s="24">
        <f>'数据表'!D17</f>
        <v>0</v>
      </c>
      <c r="C9" s="24">
        <f>'数据表'!D18</f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>
        <f>SUM(B9:D9)</f>
        <v>0</v>
      </c>
    </row>
    <row r="10" spans="1:27" ht="18" customHeight="1">
      <c r="A10" s="47" t="s">
        <v>97</v>
      </c>
      <c r="B10" s="23"/>
      <c r="C10" s="23"/>
      <c r="D10" s="24">
        <f>'成本表'!G24*0.7</f>
        <v>33.08530225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>
        <f>D10</f>
        <v>33.08530225</v>
      </c>
    </row>
    <row r="11" spans="1:27" ht="18" customHeight="1">
      <c r="A11" s="47" t="s">
        <v>98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1:27" ht="18" customHeight="1">
      <c r="A12" s="47" t="s">
        <v>99</v>
      </c>
      <c r="B12" s="48">
        <f>B16-B9</f>
        <v>1250</v>
      </c>
      <c r="C12" s="48">
        <f>C16-C9</f>
        <v>1253.73</v>
      </c>
      <c r="D12" s="49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>
        <f>SUM(B12:D12)</f>
        <v>2503.73</v>
      </c>
    </row>
    <row r="13" spans="1:27" ht="18" customHeight="1">
      <c r="A13" s="47" t="s">
        <v>100</v>
      </c>
      <c r="B13" s="23"/>
      <c r="C13" s="23"/>
      <c r="D13" s="50">
        <f>'成本表'!G24-'资金来源表'!D10</f>
        <v>14.179415249999998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>
        <f>D10</f>
        <v>33.08530225</v>
      </c>
    </row>
    <row r="14" spans="1:27" ht="18" customHeight="1">
      <c r="A14" s="47" t="s">
        <v>101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f>'数据表'!D12</f>
        <v>267.68399999999997</v>
      </c>
      <c r="X14" s="23"/>
      <c r="Y14" s="23"/>
      <c r="Z14" s="23"/>
      <c r="AA14" s="24">
        <f>W14</f>
        <v>267.68399999999997</v>
      </c>
    </row>
    <row r="15" spans="1:27" ht="18" customHeight="1">
      <c r="A15" s="47" t="s">
        <v>102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6">
        <f>'数据表'!D9</f>
        <v>47.264717499999996</v>
      </c>
      <c r="X15" s="23"/>
      <c r="Y15" s="23"/>
      <c r="Z15" s="23"/>
      <c r="AA15" s="24">
        <f>W15</f>
        <v>47.264717499999996</v>
      </c>
    </row>
    <row r="16" spans="1:27" ht="18" customHeight="1">
      <c r="A16" s="47" t="s">
        <v>103</v>
      </c>
      <c r="B16" s="24">
        <f>'数据表'!D13</f>
        <v>1250</v>
      </c>
      <c r="C16" s="24">
        <f>'数据表'!D14</f>
        <v>1253.73</v>
      </c>
      <c r="D16" s="24">
        <f aca="true" t="shared" si="1" ref="D16:W16">SUM(D17:D23)</f>
        <v>93.07438984031732</v>
      </c>
      <c r="E16" s="24">
        <f t="shared" si="1"/>
        <v>45.80967234031733</v>
      </c>
      <c r="F16" s="24">
        <f t="shared" si="1"/>
        <v>45.80967234031733</v>
      </c>
      <c r="G16" s="24">
        <f t="shared" si="1"/>
        <v>45.80967234031733</v>
      </c>
      <c r="H16" s="24">
        <f t="shared" si="1"/>
        <v>45.80967234031733</v>
      </c>
      <c r="I16" s="24">
        <f t="shared" si="1"/>
        <v>45.80967234031733</v>
      </c>
      <c r="J16" s="24">
        <f t="shared" si="1"/>
        <v>45.80967234031733</v>
      </c>
      <c r="K16" s="24">
        <f t="shared" si="1"/>
        <v>45.80967234031733</v>
      </c>
      <c r="L16" s="24">
        <f t="shared" si="1"/>
        <v>45.80967234031733</v>
      </c>
      <c r="M16" s="24">
        <f t="shared" si="1"/>
        <v>45.80967234031733</v>
      </c>
      <c r="N16" s="24">
        <f t="shared" si="1"/>
        <v>54.81966234031732</v>
      </c>
      <c r="O16" s="24">
        <f t="shared" si="1"/>
        <v>54.81966234031732</v>
      </c>
      <c r="P16" s="24">
        <f t="shared" si="1"/>
        <v>54.81966234031732</v>
      </c>
      <c r="Q16" s="24">
        <f t="shared" si="1"/>
        <v>54.81966234031732</v>
      </c>
      <c r="R16" s="24">
        <f t="shared" si="1"/>
        <v>54.81966234031732</v>
      </c>
      <c r="S16" s="24">
        <f t="shared" si="1"/>
        <v>54.81966234031732</v>
      </c>
      <c r="T16" s="24">
        <f t="shared" si="1"/>
        <v>54.81966234031732</v>
      </c>
      <c r="U16" s="24">
        <f t="shared" si="1"/>
        <v>54.81966234031732</v>
      </c>
      <c r="V16" s="24">
        <f t="shared" si="1"/>
        <v>54.81966234031732</v>
      </c>
      <c r="W16" s="24">
        <f t="shared" si="1"/>
        <v>87.90496459031732</v>
      </c>
      <c r="X16" s="23"/>
      <c r="Y16" s="23"/>
      <c r="Z16" s="23"/>
      <c r="AA16" s="24">
        <f>SUM(B16:X16)</f>
        <v>3590.373366556347</v>
      </c>
    </row>
    <row r="17" spans="1:27" ht="18" customHeight="1">
      <c r="A17" s="47" t="s">
        <v>104</v>
      </c>
      <c r="B17" s="36">
        <f>B16-B18</f>
        <v>1250</v>
      </c>
      <c r="C17" s="36">
        <f>C16-C18</f>
        <v>1253.73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>
        <f>SUM(B17:C17)</f>
        <v>2503.73</v>
      </c>
    </row>
    <row r="18" spans="1:27" ht="18" customHeight="1">
      <c r="A18" s="47" t="s">
        <v>105</v>
      </c>
      <c r="B18" s="24">
        <f>'贷款表'!C13</f>
        <v>0</v>
      </c>
      <c r="C18" s="24">
        <f>'贷款表'!D13</f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>
        <f>SUM(B18:C18)</f>
        <v>0</v>
      </c>
    </row>
    <row r="19" spans="1:27" ht="18" customHeight="1">
      <c r="A19" s="47" t="s">
        <v>55</v>
      </c>
      <c r="B19" s="23"/>
      <c r="C19" s="23"/>
      <c r="D19" s="36">
        <f>D10+D13</f>
        <v>47.264717499999996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>
        <f>D19</f>
        <v>47.264717499999996</v>
      </c>
    </row>
    <row r="20" spans="1:27" ht="18" customHeight="1">
      <c r="A20" s="47" t="s">
        <v>67</v>
      </c>
      <c r="B20" s="23"/>
      <c r="C20" s="23"/>
      <c r="D20" s="24">
        <f>'损益表'!D14</f>
        <v>45.80967234031733</v>
      </c>
      <c r="E20" s="24">
        <f>'损益表'!E14</f>
        <v>45.80967234031733</v>
      </c>
      <c r="F20" s="24">
        <f>'损益表'!F14</f>
        <v>45.80967234031733</v>
      </c>
      <c r="G20" s="24">
        <f>'损益表'!G14</f>
        <v>45.80967234031733</v>
      </c>
      <c r="H20" s="24">
        <f>'损益表'!H14</f>
        <v>45.80967234031733</v>
      </c>
      <c r="I20" s="24">
        <f>'损益表'!I14</f>
        <v>45.80967234031733</v>
      </c>
      <c r="J20" s="24">
        <f>'损益表'!J14</f>
        <v>45.80967234031733</v>
      </c>
      <c r="K20" s="24">
        <f>'损益表'!K14</f>
        <v>45.80967234031733</v>
      </c>
      <c r="L20" s="24">
        <f>'损益表'!L14</f>
        <v>45.80967234031733</v>
      </c>
      <c r="M20" s="24">
        <f>'损益表'!M14</f>
        <v>45.80967234031733</v>
      </c>
      <c r="N20" s="24">
        <f>'损益表'!N14</f>
        <v>54.81966234031732</v>
      </c>
      <c r="O20" s="24">
        <f>'损益表'!O14</f>
        <v>54.81966234031732</v>
      </c>
      <c r="P20" s="24">
        <f>'损益表'!P14</f>
        <v>54.81966234031732</v>
      </c>
      <c r="Q20" s="24">
        <f>'损益表'!Q14</f>
        <v>54.81966234031732</v>
      </c>
      <c r="R20" s="24">
        <f>'损益表'!R14</f>
        <v>54.81966234031732</v>
      </c>
      <c r="S20" s="24">
        <f>'损益表'!S14</f>
        <v>54.81966234031732</v>
      </c>
      <c r="T20" s="24">
        <f>'损益表'!T14</f>
        <v>54.81966234031732</v>
      </c>
      <c r="U20" s="24">
        <f>'损益表'!U14</f>
        <v>54.81966234031732</v>
      </c>
      <c r="V20" s="24">
        <f>'损益表'!V14</f>
        <v>54.81966234031732</v>
      </c>
      <c r="W20" s="24">
        <f>'损益表'!W14</f>
        <v>54.81966234031732</v>
      </c>
      <c r="X20" s="24"/>
      <c r="Y20" s="23"/>
      <c r="Z20" s="23"/>
      <c r="AA20" s="24">
        <f>SUM(D20:X20)</f>
        <v>1006.2933468063466</v>
      </c>
    </row>
    <row r="21" spans="1:27" ht="18" customHeight="1">
      <c r="A21" s="47" t="s">
        <v>106</v>
      </c>
      <c r="B21" s="23"/>
      <c r="C21" s="23"/>
      <c r="D21" s="24">
        <f>'贷款表'!E14</f>
        <v>0</v>
      </c>
      <c r="E21" s="24">
        <f>'贷款表'!F14</f>
        <v>0</v>
      </c>
      <c r="F21" s="24">
        <f>'贷款表'!G14</f>
        <v>0</v>
      </c>
      <c r="G21" s="24">
        <f>'贷款表'!H14</f>
        <v>0</v>
      </c>
      <c r="H21" s="24">
        <f>'贷款表'!I14</f>
        <v>0</v>
      </c>
      <c r="I21" s="24">
        <f>'贷款表'!J14</f>
        <v>0</v>
      </c>
      <c r="J21" s="24">
        <f>'贷款表'!K14</f>
        <v>0</v>
      </c>
      <c r="K21" s="24">
        <f>'贷款表'!L14</f>
        <v>0</v>
      </c>
      <c r="L21" s="24">
        <f>'贷款表'!M14</f>
        <v>0</v>
      </c>
      <c r="M21" s="24">
        <f>'贷款表'!N14</f>
        <v>0</v>
      </c>
      <c r="N21" s="24">
        <f>'贷款表'!O14</f>
        <v>0</v>
      </c>
      <c r="O21" s="24">
        <f>'贷款表'!P14</f>
        <v>0</v>
      </c>
      <c r="P21" s="24">
        <f>'贷款表'!Q14</f>
        <v>0</v>
      </c>
      <c r="Q21" s="24">
        <f>'贷款表'!R14</f>
        <v>0</v>
      </c>
      <c r="R21" s="24">
        <f>'贷款表'!S14</f>
        <v>0</v>
      </c>
      <c r="S21" s="24">
        <f>'贷款表'!T14</f>
        <v>0</v>
      </c>
      <c r="T21" s="24">
        <f>'贷款表'!U14</f>
        <v>0</v>
      </c>
      <c r="U21" s="24">
        <f>'贷款表'!V14</f>
        <v>0</v>
      </c>
      <c r="V21" s="24">
        <f>'贷款表'!W14</f>
        <v>0</v>
      </c>
      <c r="W21" s="24">
        <f>'贷款表'!X14</f>
        <v>0</v>
      </c>
      <c r="X21" s="24"/>
      <c r="Y21" s="23"/>
      <c r="Z21" s="23"/>
      <c r="AA21" s="24">
        <f>SUM(D21:X21)</f>
        <v>0</v>
      </c>
    </row>
    <row r="22" spans="1:27" ht="18" customHeight="1">
      <c r="A22" s="47" t="s">
        <v>107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>
        <f>'数据表'!D9*0.7</f>
        <v>33.08530225</v>
      </c>
      <c r="X22" s="23"/>
      <c r="Y22" s="23"/>
      <c r="Z22" s="23"/>
      <c r="AA22" s="24">
        <f>W22</f>
        <v>33.08530225</v>
      </c>
    </row>
    <row r="23" spans="1:27" ht="18" customHeight="1">
      <c r="A23" s="47" t="s">
        <v>108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ht="18" customHeight="1">
      <c r="A24" s="47" t="s">
        <v>109</v>
      </c>
      <c r="B24" s="24">
        <f aca="true" t="shared" si="2" ref="B24:W24">B5-B16</f>
        <v>0</v>
      </c>
      <c r="C24" s="24">
        <f t="shared" si="2"/>
        <v>0</v>
      </c>
      <c r="D24" s="50">
        <f t="shared" si="2"/>
        <v>218.46131656973512</v>
      </c>
      <c r="E24" s="36">
        <f t="shared" si="2"/>
        <v>218.46131656973517</v>
      </c>
      <c r="F24" s="36">
        <f t="shared" si="2"/>
        <v>218.46131656973517</v>
      </c>
      <c r="G24" s="36">
        <f t="shared" si="2"/>
        <v>218.46131656973517</v>
      </c>
      <c r="H24" s="36">
        <f t="shared" si="2"/>
        <v>218.46131656973517</v>
      </c>
      <c r="I24" s="36">
        <f t="shared" si="2"/>
        <v>218.46131656973517</v>
      </c>
      <c r="J24" s="36">
        <f t="shared" si="2"/>
        <v>218.46131656973517</v>
      </c>
      <c r="K24" s="36">
        <f t="shared" si="2"/>
        <v>218.46131656973517</v>
      </c>
      <c r="L24" s="36">
        <f t="shared" si="2"/>
        <v>218.46131656973517</v>
      </c>
      <c r="M24" s="36">
        <f t="shared" si="2"/>
        <v>218.46131656973517</v>
      </c>
      <c r="N24" s="36">
        <f t="shared" si="2"/>
        <v>209.45132656973516</v>
      </c>
      <c r="O24" s="36">
        <f t="shared" si="2"/>
        <v>209.45132656973516</v>
      </c>
      <c r="P24" s="36">
        <f t="shared" si="2"/>
        <v>209.45132656973516</v>
      </c>
      <c r="Q24" s="36">
        <f t="shared" si="2"/>
        <v>209.45132656973516</v>
      </c>
      <c r="R24" s="36">
        <f t="shared" si="2"/>
        <v>209.45132656973516</v>
      </c>
      <c r="S24" s="36">
        <f t="shared" si="2"/>
        <v>209.45132656973516</v>
      </c>
      <c r="T24" s="36">
        <f t="shared" si="2"/>
        <v>209.45132656973516</v>
      </c>
      <c r="U24" s="36">
        <f t="shared" si="2"/>
        <v>209.45132656973516</v>
      </c>
      <c r="V24" s="36">
        <f t="shared" si="2"/>
        <v>209.45132656973516</v>
      </c>
      <c r="W24" s="36">
        <f t="shared" si="2"/>
        <v>491.31474181973505</v>
      </c>
      <c r="X24" s="23"/>
      <c r="Y24" s="23"/>
      <c r="Z24" s="23"/>
      <c r="AA24" s="24">
        <f>SUM(B24:X24)</f>
        <v>4560.989846644703</v>
      </c>
    </row>
    <row r="25" spans="1:27" ht="18" customHeight="1">
      <c r="A25" s="47" t="s">
        <v>110</v>
      </c>
      <c r="B25" s="24">
        <f>B24</f>
        <v>0</v>
      </c>
      <c r="C25" s="50">
        <f>B25+C24</f>
        <v>0</v>
      </c>
      <c r="D25" s="50">
        <f>D24</f>
        <v>218.46131656973512</v>
      </c>
      <c r="E25" s="36">
        <f aca="true" t="shared" si="3" ref="E25:W25">D25+E24</f>
        <v>436.9226331394703</v>
      </c>
      <c r="F25" s="36">
        <f t="shared" si="3"/>
        <v>655.3839497092055</v>
      </c>
      <c r="G25" s="35">
        <f t="shared" si="3"/>
        <v>873.8452662789407</v>
      </c>
      <c r="H25" s="35">
        <f t="shared" si="3"/>
        <v>1092.3065828486758</v>
      </c>
      <c r="I25" s="35">
        <f t="shared" si="3"/>
        <v>1310.767899418411</v>
      </c>
      <c r="J25" s="35">
        <f t="shared" si="3"/>
        <v>1529.229215988146</v>
      </c>
      <c r="K25" s="35">
        <f t="shared" si="3"/>
        <v>1747.6905325578812</v>
      </c>
      <c r="L25" s="35">
        <f t="shared" si="3"/>
        <v>1966.1518491276163</v>
      </c>
      <c r="M25" s="35">
        <f t="shared" si="3"/>
        <v>2184.6131656973516</v>
      </c>
      <c r="N25" s="35">
        <f t="shared" si="3"/>
        <v>2394.0644922670867</v>
      </c>
      <c r="O25" s="35">
        <f t="shared" si="3"/>
        <v>2603.515818836822</v>
      </c>
      <c r="P25" s="35">
        <f t="shared" si="3"/>
        <v>2812.967145406557</v>
      </c>
      <c r="Q25" s="35">
        <f t="shared" si="3"/>
        <v>3022.418471976292</v>
      </c>
      <c r="R25" s="35">
        <f t="shared" si="3"/>
        <v>3231.869798546027</v>
      </c>
      <c r="S25" s="35">
        <f t="shared" si="3"/>
        <v>3441.3211251157622</v>
      </c>
      <c r="T25" s="35">
        <f t="shared" si="3"/>
        <v>3650.7724516854973</v>
      </c>
      <c r="U25" s="35">
        <f t="shared" si="3"/>
        <v>3860.2237782552324</v>
      </c>
      <c r="V25" s="35">
        <f t="shared" si="3"/>
        <v>4069.6751048249675</v>
      </c>
      <c r="W25" s="35">
        <f t="shared" si="3"/>
        <v>4560.989846644703</v>
      </c>
      <c r="X25" s="23"/>
      <c r="Y25" s="23"/>
      <c r="Z25" s="23"/>
      <c r="AA25" s="24"/>
    </row>
    <row r="26" ht="14.25">
      <c r="A26" s="51"/>
    </row>
    <row r="27" ht="14.25">
      <c r="A27" s="52"/>
    </row>
  </sheetData>
  <mergeCells count="2">
    <mergeCell ref="D1:I1"/>
    <mergeCell ref="Q1:V1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zoomScale="75" zoomScaleNormal="75" workbookViewId="0" topLeftCell="A1">
      <selection activeCell="J21" sqref="J21"/>
    </sheetView>
  </sheetViews>
  <sheetFormatPr defaultColWidth="9.00390625" defaultRowHeight="14.25"/>
  <cols>
    <col min="1" max="1" width="17.875" style="0" customWidth="1"/>
    <col min="2" max="25" width="8.125" style="0" customWidth="1"/>
  </cols>
  <sheetData>
    <row r="1" spans="4:20" ht="50.25" customHeight="1">
      <c r="D1" s="85" t="s">
        <v>111</v>
      </c>
      <c r="E1" s="85"/>
      <c r="F1" s="85"/>
      <c r="G1" s="85"/>
      <c r="H1" s="85"/>
      <c r="P1" s="85" t="s">
        <v>111</v>
      </c>
      <c r="Q1" s="85"/>
      <c r="R1" s="85"/>
      <c r="S1" s="85"/>
      <c r="T1" s="85"/>
    </row>
    <row r="2" ht="10.5" customHeight="1"/>
    <row r="3" spans="1:25" ht="25.5" customHeight="1">
      <c r="A3" s="20" t="s">
        <v>31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0">
        <v>14</v>
      </c>
      <c r="P3" s="20">
        <v>15</v>
      </c>
      <c r="Q3" s="20">
        <v>16</v>
      </c>
      <c r="R3" s="20">
        <v>17</v>
      </c>
      <c r="S3" s="20">
        <v>18</v>
      </c>
      <c r="T3" s="20">
        <v>19</v>
      </c>
      <c r="U3" s="20">
        <v>20</v>
      </c>
      <c r="V3" s="20">
        <v>21</v>
      </c>
      <c r="W3" s="20">
        <v>22</v>
      </c>
      <c r="X3" s="20">
        <v>23</v>
      </c>
      <c r="Y3" s="20">
        <v>24</v>
      </c>
    </row>
    <row r="4" spans="1:25" ht="18" customHeight="1">
      <c r="A4" s="47" t="s">
        <v>112</v>
      </c>
      <c r="B4" s="24">
        <f>B10</f>
        <v>1250</v>
      </c>
      <c r="C4" s="24">
        <f>C10</f>
        <v>2503.73</v>
      </c>
      <c r="D4" s="24">
        <f aca="true" t="shared" si="0" ref="D4:W4">SUM(D5,D11:D12)</f>
        <v>2670.7628484864017</v>
      </c>
      <c r="E4" s="24">
        <f t="shared" si="0"/>
        <v>2763.770365056137</v>
      </c>
      <c r="F4" s="24">
        <f t="shared" si="0"/>
        <v>2856.7778816258724</v>
      </c>
      <c r="G4" s="24">
        <f t="shared" si="0"/>
        <v>2949.7853981956077</v>
      </c>
      <c r="H4" s="24">
        <f t="shared" si="0"/>
        <v>3042.7929147653426</v>
      </c>
      <c r="I4" s="24">
        <f t="shared" si="0"/>
        <v>3135.800431335078</v>
      </c>
      <c r="J4" s="26">
        <f t="shared" si="0"/>
        <v>3228.8079479048133</v>
      </c>
      <c r="K4" s="26">
        <f t="shared" si="0"/>
        <v>3321.815464474548</v>
      </c>
      <c r="L4" s="26">
        <f t="shared" si="0"/>
        <v>3414.8229810442836</v>
      </c>
      <c r="M4" s="26">
        <f t="shared" si="0"/>
        <v>3507.8304976140194</v>
      </c>
      <c r="N4" s="26">
        <f t="shared" si="0"/>
        <v>3619.1310241837546</v>
      </c>
      <c r="O4" s="26">
        <f t="shared" si="0"/>
        <v>3730.43155075349</v>
      </c>
      <c r="P4" s="26">
        <f t="shared" si="0"/>
        <v>3841.732077323225</v>
      </c>
      <c r="Q4" s="26">
        <f t="shared" si="0"/>
        <v>3953.0326038929597</v>
      </c>
      <c r="R4" s="26">
        <f t="shared" si="0"/>
        <v>4064.333130462695</v>
      </c>
      <c r="S4" s="26">
        <f t="shared" si="0"/>
        <v>4175.63365703243</v>
      </c>
      <c r="T4" s="26">
        <f t="shared" si="0"/>
        <v>4286.934183602165</v>
      </c>
      <c r="U4" s="26">
        <f t="shared" si="0"/>
        <v>4398.234710171901</v>
      </c>
      <c r="V4" s="26">
        <f t="shared" si="0"/>
        <v>4509.535236741635</v>
      </c>
      <c r="W4" s="26">
        <f t="shared" si="0"/>
        <v>4902.699178561371</v>
      </c>
      <c r="X4" s="23"/>
      <c r="Y4" s="23"/>
    </row>
    <row r="5" spans="1:25" ht="18" customHeight="1">
      <c r="A5" s="47" t="s">
        <v>113</v>
      </c>
      <c r="B5" s="23"/>
      <c r="C5" s="23"/>
      <c r="D5" s="24">
        <f aca="true" t="shared" si="1" ref="D5:W5">SUM(D6:D9)</f>
        <v>292.4866484864018</v>
      </c>
      <c r="E5" s="24">
        <f t="shared" si="1"/>
        <v>510.9479650561369</v>
      </c>
      <c r="F5" s="24">
        <f t="shared" si="1"/>
        <v>729.4092816258722</v>
      </c>
      <c r="G5" s="24">
        <f t="shared" si="1"/>
        <v>947.8705981956074</v>
      </c>
      <c r="H5" s="24">
        <f t="shared" si="1"/>
        <v>1166.3319147653424</v>
      </c>
      <c r="I5" s="24">
        <f t="shared" si="1"/>
        <v>1384.7932313350775</v>
      </c>
      <c r="J5" s="24">
        <f t="shared" si="1"/>
        <v>1603.2545479048126</v>
      </c>
      <c r="K5" s="24">
        <f t="shared" si="1"/>
        <v>1821.7158644745477</v>
      </c>
      <c r="L5" s="26">
        <f t="shared" si="1"/>
        <v>2040.1771810442829</v>
      </c>
      <c r="M5" s="26">
        <f t="shared" si="1"/>
        <v>2258.6384976140184</v>
      </c>
      <c r="N5" s="26">
        <f t="shared" si="1"/>
        <v>2468.0898241837535</v>
      </c>
      <c r="O5" s="26">
        <f t="shared" si="1"/>
        <v>2677.5411507534886</v>
      </c>
      <c r="P5" s="26">
        <f t="shared" si="1"/>
        <v>2886.9924773232237</v>
      </c>
      <c r="Q5" s="26">
        <f t="shared" si="1"/>
        <v>3096.443803892959</v>
      </c>
      <c r="R5" s="26">
        <f t="shared" si="1"/>
        <v>3305.895130462694</v>
      </c>
      <c r="S5" s="26">
        <f t="shared" si="1"/>
        <v>3515.346457032429</v>
      </c>
      <c r="T5" s="26">
        <f t="shared" si="1"/>
        <v>3724.797783602164</v>
      </c>
      <c r="U5" s="26">
        <f t="shared" si="1"/>
        <v>3934.2491101718992</v>
      </c>
      <c r="V5" s="26">
        <f t="shared" si="1"/>
        <v>4143.700436741634</v>
      </c>
      <c r="W5" s="26">
        <f t="shared" si="1"/>
        <v>4635.01517856137</v>
      </c>
      <c r="X5" s="23"/>
      <c r="Y5" s="23"/>
    </row>
    <row r="6" spans="1:25" ht="18" customHeight="1">
      <c r="A6" s="47" t="s">
        <v>114</v>
      </c>
      <c r="B6" s="23"/>
      <c r="C6" s="23"/>
      <c r="D6" s="24">
        <f>'成本表'!G22/6</f>
        <v>31.509811666666664</v>
      </c>
      <c r="E6" s="24">
        <f>'成本表'!H22/6</f>
        <v>31.509811666666664</v>
      </c>
      <c r="F6" s="24">
        <f>'成本表'!I22/6</f>
        <v>31.509811666666664</v>
      </c>
      <c r="G6" s="24">
        <f>'成本表'!J22/6</f>
        <v>31.509811666666664</v>
      </c>
      <c r="H6" s="24">
        <f>'成本表'!K22/6</f>
        <v>31.509811666666664</v>
      </c>
      <c r="I6" s="24">
        <f>'成本表'!L22/6</f>
        <v>31.509811666666664</v>
      </c>
      <c r="J6" s="24">
        <f>'成本表'!M22/6</f>
        <v>31.509811666666664</v>
      </c>
      <c r="K6" s="24">
        <f>'成本表'!N22/6</f>
        <v>31.509811666666664</v>
      </c>
      <c r="L6" s="24">
        <f>'成本表'!O22/6</f>
        <v>31.509811666666664</v>
      </c>
      <c r="M6" s="24">
        <f>'成本表'!P22/6</f>
        <v>31.509811666666664</v>
      </c>
      <c r="N6" s="24">
        <f>'成本表'!Q22/6</f>
        <v>31.509811666666664</v>
      </c>
      <c r="O6" s="24">
        <f>'成本表'!R22/6</f>
        <v>31.509811666666664</v>
      </c>
      <c r="P6" s="24">
        <f>'成本表'!S22/6</f>
        <v>31.509811666666664</v>
      </c>
      <c r="Q6" s="24">
        <f>'成本表'!T22/6</f>
        <v>31.509811666666664</v>
      </c>
      <c r="R6" s="24">
        <f>'成本表'!U22/6</f>
        <v>31.509811666666664</v>
      </c>
      <c r="S6" s="24">
        <f>'成本表'!V22/6</f>
        <v>31.509811666666664</v>
      </c>
      <c r="T6" s="24">
        <f>'成本表'!W22/6</f>
        <v>31.509811666666664</v>
      </c>
      <c r="U6" s="24">
        <f>'成本表'!X22/6</f>
        <v>31.509811666666664</v>
      </c>
      <c r="V6" s="24">
        <f>'成本表'!Y22/6</f>
        <v>31.509811666666664</v>
      </c>
      <c r="W6" s="24">
        <f>'成本表'!Z22/6</f>
        <v>31.509811666666664</v>
      </c>
      <c r="X6" s="23"/>
      <c r="Y6" s="23"/>
    </row>
    <row r="7" spans="1:25" ht="18" customHeight="1">
      <c r="A7" s="47" t="s">
        <v>115</v>
      </c>
      <c r="B7" s="23"/>
      <c r="C7" s="23"/>
      <c r="D7" s="24">
        <f aca="true" t="shared" si="2" ref="D7:W7">D6*6/5</f>
        <v>37.811774</v>
      </c>
      <c r="E7" s="24">
        <f t="shared" si="2"/>
        <v>37.811774</v>
      </c>
      <c r="F7" s="24">
        <f t="shared" si="2"/>
        <v>37.811774</v>
      </c>
      <c r="G7" s="24">
        <f t="shared" si="2"/>
        <v>37.811774</v>
      </c>
      <c r="H7" s="24">
        <f t="shared" si="2"/>
        <v>37.811774</v>
      </c>
      <c r="I7" s="24">
        <f t="shared" si="2"/>
        <v>37.811774</v>
      </c>
      <c r="J7" s="24">
        <f t="shared" si="2"/>
        <v>37.811774</v>
      </c>
      <c r="K7" s="24">
        <f t="shared" si="2"/>
        <v>37.811774</v>
      </c>
      <c r="L7" s="24">
        <f t="shared" si="2"/>
        <v>37.811774</v>
      </c>
      <c r="M7" s="24">
        <f t="shared" si="2"/>
        <v>37.811774</v>
      </c>
      <c r="N7" s="24">
        <f t="shared" si="2"/>
        <v>37.811774</v>
      </c>
      <c r="O7" s="24">
        <f t="shared" si="2"/>
        <v>37.811774</v>
      </c>
      <c r="P7" s="24">
        <f t="shared" si="2"/>
        <v>37.811774</v>
      </c>
      <c r="Q7" s="24">
        <f t="shared" si="2"/>
        <v>37.811774</v>
      </c>
      <c r="R7" s="24">
        <f t="shared" si="2"/>
        <v>37.811774</v>
      </c>
      <c r="S7" s="24">
        <f t="shared" si="2"/>
        <v>37.811774</v>
      </c>
      <c r="T7" s="24">
        <f t="shared" si="2"/>
        <v>37.811774</v>
      </c>
      <c r="U7" s="24">
        <f t="shared" si="2"/>
        <v>37.811774</v>
      </c>
      <c r="V7" s="24">
        <f t="shared" si="2"/>
        <v>37.811774</v>
      </c>
      <c r="W7" s="24">
        <f t="shared" si="2"/>
        <v>37.811774</v>
      </c>
      <c r="X7" s="23"/>
      <c r="Y7" s="23"/>
    </row>
    <row r="8" spans="1:25" ht="18" customHeight="1">
      <c r="A8" s="47" t="s">
        <v>116</v>
      </c>
      <c r="B8" s="23"/>
      <c r="C8" s="23"/>
      <c r="D8" s="24">
        <f>('成本表'!G12+'成本表'!G17)/8</f>
        <v>4.70374625</v>
      </c>
      <c r="E8" s="24">
        <f>('成本表'!H12+'成本表'!H17)/8</f>
        <v>4.70374625</v>
      </c>
      <c r="F8" s="24">
        <f>('成本表'!I12+'成本表'!I17)/8</f>
        <v>4.70374625</v>
      </c>
      <c r="G8" s="24">
        <f>('成本表'!J12+'成本表'!J17)/8</f>
        <v>4.70374625</v>
      </c>
      <c r="H8" s="24">
        <f>('成本表'!K12+'成本表'!K17)/8</f>
        <v>4.70374625</v>
      </c>
      <c r="I8" s="24">
        <f>('成本表'!L12+'成本表'!L17)/8</f>
        <v>4.70374625</v>
      </c>
      <c r="J8" s="24">
        <f>('成本表'!M12+'成本表'!M17)/8</f>
        <v>4.70374625</v>
      </c>
      <c r="K8" s="24">
        <f>('成本表'!N12+'成本表'!N17)/8</f>
        <v>4.70374625</v>
      </c>
      <c r="L8" s="24">
        <f>('成本表'!O12+'成本表'!O17)/8</f>
        <v>4.70374625</v>
      </c>
      <c r="M8" s="24">
        <f>('成本表'!P12+'成本表'!P17)/8</f>
        <v>4.70374625</v>
      </c>
      <c r="N8" s="24">
        <f>('成本表'!Q12+'成本表'!Q17)/8</f>
        <v>4.70374625</v>
      </c>
      <c r="O8" s="24">
        <f>('成本表'!R12+'成本表'!R17)/8</f>
        <v>4.70374625</v>
      </c>
      <c r="P8" s="24">
        <f>('成本表'!S12+'成本表'!S17)/8</f>
        <v>4.70374625</v>
      </c>
      <c r="Q8" s="24">
        <f>('成本表'!T12+'成本表'!T17)/8</f>
        <v>4.70374625</v>
      </c>
      <c r="R8" s="24">
        <f>('成本表'!U12+'成本表'!U17)/8</f>
        <v>4.70374625</v>
      </c>
      <c r="S8" s="24">
        <f>('成本表'!V12+'成本表'!V17)/8</f>
        <v>4.70374625</v>
      </c>
      <c r="T8" s="24">
        <f>('成本表'!W12+'成本表'!W17)/8</f>
        <v>4.70374625</v>
      </c>
      <c r="U8" s="24">
        <f>('成本表'!X12+'成本表'!X17)/8</f>
        <v>4.70374625</v>
      </c>
      <c r="V8" s="24">
        <f>('成本表'!Y12+'成本表'!Y17)/8</f>
        <v>4.70374625</v>
      </c>
      <c r="W8" s="24">
        <f>('成本表'!Z12+'成本表'!Z17)/8</f>
        <v>4.70374625</v>
      </c>
      <c r="X8" s="23"/>
      <c r="Y8" s="23"/>
    </row>
    <row r="9" spans="1:25" ht="18" customHeight="1">
      <c r="A9" s="47" t="s">
        <v>117</v>
      </c>
      <c r="B9" s="23"/>
      <c r="C9" s="23"/>
      <c r="D9" s="24">
        <f>'资金来源表'!D25</f>
        <v>218.46131656973512</v>
      </c>
      <c r="E9" s="24">
        <f>'资金来源表'!E25</f>
        <v>436.9226331394703</v>
      </c>
      <c r="F9" s="24">
        <f>'资金来源表'!F25</f>
        <v>655.3839497092055</v>
      </c>
      <c r="G9" s="24">
        <f>'资金来源表'!G25</f>
        <v>873.8452662789407</v>
      </c>
      <c r="H9" s="24">
        <f>'资金来源表'!H25</f>
        <v>1092.3065828486758</v>
      </c>
      <c r="I9" s="24">
        <f>'资金来源表'!I25</f>
        <v>1310.767899418411</v>
      </c>
      <c r="J9" s="24">
        <f>'资金来源表'!J25</f>
        <v>1529.229215988146</v>
      </c>
      <c r="K9" s="24">
        <f>'资金来源表'!K25</f>
        <v>1747.6905325578812</v>
      </c>
      <c r="L9" s="24">
        <f>'资金来源表'!L25</f>
        <v>1966.1518491276163</v>
      </c>
      <c r="M9" s="26">
        <f>'资金来源表'!M25</f>
        <v>2184.6131656973516</v>
      </c>
      <c r="N9" s="26">
        <f>'资金来源表'!N25</f>
        <v>2394.0644922670867</v>
      </c>
      <c r="O9" s="26">
        <f>'资金来源表'!O25</f>
        <v>2603.515818836822</v>
      </c>
      <c r="P9" s="26">
        <f>'资金来源表'!P25</f>
        <v>2812.967145406557</v>
      </c>
      <c r="Q9" s="26">
        <f>'资金来源表'!Q25</f>
        <v>3022.418471976292</v>
      </c>
      <c r="R9" s="26">
        <f>'资金来源表'!R25</f>
        <v>3231.869798546027</v>
      </c>
      <c r="S9" s="26">
        <f>'资金来源表'!S25</f>
        <v>3441.3211251157622</v>
      </c>
      <c r="T9" s="26">
        <f>'资金来源表'!T25</f>
        <v>3650.7724516854973</v>
      </c>
      <c r="U9" s="26">
        <f>'资金来源表'!U25</f>
        <v>3860.2237782552324</v>
      </c>
      <c r="V9" s="26">
        <f>'资金来源表'!V25</f>
        <v>4069.6751048249675</v>
      </c>
      <c r="W9" s="26">
        <f>'资金来源表'!W25</f>
        <v>4560.989846644703</v>
      </c>
      <c r="X9" s="23"/>
      <c r="Y9" s="23"/>
    </row>
    <row r="10" spans="1:25" ht="18" customHeight="1">
      <c r="A10" s="47" t="s">
        <v>118</v>
      </c>
      <c r="B10" s="24">
        <f>'数据表'!D13</f>
        <v>1250</v>
      </c>
      <c r="C10" s="24">
        <f>B10+'数据表'!D14</f>
        <v>2503.73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8" customHeight="1">
      <c r="A11" s="47" t="s">
        <v>119</v>
      </c>
      <c r="B11" s="23"/>
      <c r="C11" s="23"/>
      <c r="D11" s="26">
        <f>'数据表'!D11-'成本表'!G13</f>
        <v>2132.5492</v>
      </c>
      <c r="E11" s="26">
        <f>D11-'成本表'!H13</f>
        <v>2034.3984</v>
      </c>
      <c r="F11" s="26">
        <f>E11-'成本表'!I13</f>
        <v>1936.2476000000001</v>
      </c>
      <c r="G11" s="26">
        <f>F11-'成本表'!J13</f>
        <v>1838.0968000000003</v>
      </c>
      <c r="H11" s="26">
        <f>G11-'成本表'!K13</f>
        <v>1739.9460000000004</v>
      </c>
      <c r="I11" s="26">
        <f>H11-'成本表'!L13</f>
        <v>1641.7952000000005</v>
      </c>
      <c r="J11" s="26">
        <f>I11-'成本表'!M13</f>
        <v>1543.6444000000006</v>
      </c>
      <c r="K11" s="26">
        <f>J11-'成本表'!N13</f>
        <v>1445.4936000000007</v>
      </c>
      <c r="L11" s="26">
        <f>K11-'成本表'!O13</f>
        <v>1347.3428000000008</v>
      </c>
      <c r="M11" s="26">
        <f>L11-'成本表'!P13</f>
        <v>1249.192000000001</v>
      </c>
      <c r="N11" s="24">
        <f>M11-'成本表'!Q13</f>
        <v>1151.041200000001</v>
      </c>
      <c r="O11" s="24">
        <f>N11-'成本表'!R13</f>
        <v>1052.8904000000011</v>
      </c>
      <c r="P11" s="24">
        <f>O11-'成本表'!S13</f>
        <v>954.7396000000011</v>
      </c>
      <c r="Q11" s="24">
        <f>P11-'成本表'!T13</f>
        <v>856.5888000000011</v>
      </c>
      <c r="R11" s="24">
        <f>Q11-'成本表'!U13</f>
        <v>758.4380000000011</v>
      </c>
      <c r="S11" s="24">
        <f>R11-'成本表'!V13</f>
        <v>660.2872000000011</v>
      </c>
      <c r="T11" s="24">
        <f>S11-'成本表'!W13</f>
        <v>562.1364000000011</v>
      </c>
      <c r="U11" s="24">
        <f>T11-'成本表'!X13</f>
        <v>463.9856000000011</v>
      </c>
      <c r="V11" s="24">
        <f>U11-'成本表'!Y13</f>
        <v>365.8348000000011</v>
      </c>
      <c r="W11" s="24">
        <f>V11-'成本表'!Z13</f>
        <v>267.6840000000011</v>
      </c>
      <c r="X11" s="23"/>
      <c r="Y11" s="23"/>
    </row>
    <row r="12" spans="1:25" ht="18" customHeight="1">
      <c r="A12" s="47" t="s">
        <v>120</v>
      </c>
      <c r="B12" s="23"/>
      <c r="C12" s="23"/>
      <c r="D12" s="24">
        <f>'数据表'!D5-'成本表'!G15</f>
        <v>245.72699999999998</v>
      </c>
      <c r="E12" s="50">
        <f>D12-'成本表'!H15</f>
        <v>218.42399999999998</v>
      </c>
      <c r="F12" s="50">
        <f>E12-'成本表'!I15</f>
        <v>191.12099999999998</v>
      </c>
      <c r="G12" s="50">
        <f>F12-'成本表'!J15</f>
        <v>163.81799999999998</v>
      </c>
      <c r="H12" s="50">
        <f>G12-'成本表'!K15</f>
        <v>136.515</v>
      </c>
      <c r="I12" s="50">
        <f>H12-'成本表'!L15</f>
        <v>109.21199999999999</v>
      </c>
      <c r="J12" s="50">
        <f>I12-'成本表'!M15</f>
        <v>81.90899999999999</v>
      </c>
      <c r="K12" s="50">
        <f>J12-'成本表'!N15</f>
        <v>54.605999999999995</v>
      </c>
      <c r="L12" s="50">
        <f>K12-'成本表'!O15</f>
        <v>27.302999999999997</v>
      </c>
      <c r="M12" s="50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8" customHeight="1">
      <c r="A13" s="47" t="s">
        <v>121</v>
      </c>
      <c r="B13" s="35">
        <f aca="true" t="shared" si="3" ref="B13:M13">SUM(B19:B20)</f>
        <v>1250</v>
      </c>
      <c r="C13" s="35">
        <f t="shared" si="3"/>
        <v>2503.73</v>
      </c>
      <c r="D13" s="35">
        <f t="shared" si="3"/>
        <v>2670.7622340697353</v>
      </c>
      <c r="E13" s="35">
        <f t="shared" si="3"/>
        <v>2763.76975063947</v>
      </c>
      <c r="F13" s="35">
        <f t="shared" si="3"/>
        <v>2856.7772672092055</v>
      </c>
      <c r="G13" s="35">
        <f t="shared" si="3"/>
        <v>2949.7847837789404</v>
      </c>
      <c r="H13" s="35">
        <f t="shared" si="3"/>
        <v>3042.792300348676</v>
      </c>
      <c r="I13" s="35">
        <f t="shared" si="3"/>
        <v>3135.799816918411</v>
      </c>
      <c r="J13" s="35">
        <f t="shared" si="3"/>
        <v>3228.8073334881465</v>
      </c>
      <c r="K13" s="35">
        <f t="shared" si="3"/>
        <v>3321.8148500578814</v>
      </c>
      <c r="L13" s="35">
        <f t="shared" si="3"/>
        <v>3414.8223666276162</v>
      </c>
      <c r="M13" s="35">
        <f t="shared" si="3"/>
        <v>3507.8298831973516</v>
      </c>
      <c r="N13" s="35">
        <f aca="true" t="shared" si="4" ref="N13:W13">N19+N20</f>
        <v>3619.130409767087</v>
      </c>
      <c r="O13" s="35">
        <f t="shared" si="4"/>
        <v>3730.430936336822</v>
      </c>
      <c r="P13" s="35">
        <f t="shared" si="4"/>
        <v>3841.731462906557</v>
      </c>
      <c r="Q13" s="35">
        <f t="shared" si="4"/>
        <v>3953.0319894762924</v>
      </c>
      <c r="R13" s="35">
        <f t="shared" si="4"/>
        <v>4064.3325160460276</v>
      </c>
      <c r="S13" s="35">
        <f t="shared" si="4"/>
        <v>4175.633042615763</v>
      </c>
      <c r="T13" s="35">
        <f t="shared" si="4"/>
        <v>4286.933569185498</v>
      </c>
      <c r="U13" s="35">
        <f t="shared" si="4"/>
        <v>4398.234095755233</v>
      </c>
      <c r="V13" s="35">
        <f t="shared" si="4"/>
        <v>4509.534622324969</v>
      </c>
      <c r="W13" s="35">
        <f t="shared" si="4"/>
        <v>4620.835148894704</v>
      </c>
      <c r="X13" s="23"/>
      <c r="Y13" s="23"/>
    </row>
    <row r="14" spans="1:25" ht="18" customHeight="1">
      <c r="A14" s="47" t="s">
        <v>122</v>
      </c>
      <c r="B14" s="23"/>
      <c r="C14" s="23"/>
      <c r="D14" s="24">
        <f aca="true" t="shared" si="5" ref="D14:W14">SUM(D15:D17)</f>
        <v>59.84530225</v>
      </c>
      <c r="E14" s="24">
        <f t="shared" si="5"/>
        <v>59.84530225</v>
      </c>
      <c r="F14" s="24">
        <f t="shared" si="5"/>
        <v>59.84530225</v>
      </c>
      <c r="G14" s="24">
        <f t="shared" si="5"/>
        <v>59.84530225</v>
      </c>
      <c r="H14" s="24">
        <f t="shared" si="5"/>
        <v>59.84530225</v>
      </c>
      <c r="I14" s="24">
        <f t="shared" si="5"/>
        <v>59.84530225</v>
      </c>
      <c r="J14" s="24">
        <f t="shared" si="5"/>
        <v>59.84530225</v>
      </c>
      <c r="K14" s="24">
        <f t="shared" si="5"/>
        <v>59.84530225</v>
      </c>
      <c r="L14" s="24">
        <f t="shared" si="5"/>
        <v>59.84530225</v>
      </c>
      <c r="M14" s="24">
        <f t="shared" si="5"/>
        <v>59.84530225</v>
      </c>
      <c r="N14" s="24">
        <f t="shared" si="5"/>
        <v>59.84530225</v>
      </c>
      <c r="O14" s="24">
        <f t="shared" si="5"/>
        <v>59.84530225</v>
      </c>
      <c r="P14" s="24">
        <f t="shared" si="5"/>
        <v>59.84530225</v>
      </c>
      <c r="Q14" s="24">
        <f t="shared" si="5"/>
        <v>59.84530225</v>
      </c>
      <c r="R14" s="24">
        <f t="shared" si="5"/>
        <v>59.84530225</v>
      </c>
      <c r="S14" s="24">
        <f t="shared" si="5"/>
        <v>59.84530225</v>
      </c>
      <c r="T14" s="24">
        <f t="shared" si="5"/>
        <v>59.84530225</v>
      </c>
      <c r="U14" s="24">
        <f t="shared" si="5"/>
        <v>59.84530225</v>
      </c>
      <c r="V14" s="24">
        <f t="shared" si="5"/>
        <v>59.84530225</v>
      </c>
      <c r="W14" s="24">
        <f t="shared" si="5"/>
        <v>59.84530225</v>
      </c>
      <c r="X14" s="23"/>
      <c r="Y14" s="23"/>
    </row>
    <row r="15" spans="1:25" ht="18" customHeight="1">
      <c r="A15" s="47" t="s">
        <v>123</v>
      </c>
      <c r="B15" s="23"/>
      <c r="C15" s="23"/>
      <c r="D15" s="24">
        <v>26.76</v>
      </c>
      <c r="E15" s="24">
        <f aca="true" t="shared" si="6" ref="E15:W15">D15</f>
        <v>26.76</v>
      </c>
      <c r="F15" s="24">
        <f t="shared" si="6"/>
        <v>26.76</v>
      </c>
      <c r="G15" s="24">
        <f t="shared" si="6"/>
        <v>26.76</v>
      </c>
      <c r="H15" s="24">
        <f t="shared" si="6"/>
        <v>26.76</v>
      </c>
      <c r="I15" s="24">
        <f t="shared" si="6"/>
        <v>26.76</v>
      </c>
      <c r="J15" s="24">
        <f t="shared" si="6"/>
        <v>26.76</v>
      </c>
      <c r="K15" s="24">
        <f t="shared" si="6"/>
        <v>26.76</v>
      </c>
      <c r="L15" s="24">
        <f t="shared" si="6"/>
        <v>26.76</v>
      </c>
      <c r="M15" s="24">
        <f t="shared" si="6"/>
        <v>26.76</v>
      </c>
      <c r="N15" s="24">
        <f t="shared" si="6"/>
        <v>26.76</v>
      </c>
      <c r="O15" s="24">
        <f t="shared" si="6"/>
        <v>26.76</v>
      </c>
      <c r="P15" s="24">
        <f t="shared" si="6"/>
        <v>26.76</v>
      </c>
      <c r="Q15" s="24">
        <f t="shared" si="6"/>
        <v>26.76</v>
      </c>
      <c r="R15" s="24">
        <f t="shared" si="6"/>
        <v>26.76</v>
      </c>
      <c r="S15" s="24">
        <f t="shared" si="6"/>
        <v>26.76</v>
      </c>
      <c r="T15" s="24">
        <f t="shared" si="6"/>
        <v>26.76</v>
      </c>
      <c r="U15" s="24">
        <f t="shared" si="6"/>
        <v>26.76</v>
      </c>
      <c r="V15" s="24">
        <f t="shared" si="6"/>
        <v>26.76</v>
      </c>
      <c r="W15" s="24">
        <f t="shared" si="6"/>
        <v>26.76</v>
      </c>
      <c r="X15" s="23"/>
      <c r="Y15" s="23"/>
    </row>
    <row r="16" spans="1:25" ht="18" customHeight="1">
      <c r="A16" s="47" t="s">
        <v>97</v>
      </c>
      <c r="B16" s="23"/>
      <c r="C16" s="23"/>
      <c r="D16" s="24">
        <f>'资金来源表'!D10</f>
        <v>33.08530225</v>
      </c>
      <c r="E16" s="24">
        <f aca="true" t="shared" si="7" ref="E16:W16">D16</f>
        <v>33.08530225</v>
      </c>
      <c r="F16" s="24">
        <f t="shared" si="7"/>
        <v>33.08530225</v>
      </c>
      <c r="G16" s="24">
        <f t="shared" si="7"/>
        <v>33.08530225</v>
      </c>
      <c r="H16" s="24">
        <f t="shared" si="7"/>
        <v>33.08530225</v>
      </c>
      <c r="I16" s="24">
        <f t="shared" si="7"/>
        <v>33.08530225</v>
      </c>
      <c r="J16" s="24">
        <f t="shared" si="7"/>
        <v>33.08530225</v>
      </c>
      <c r="K16" s="24">
        <f t="shared" si="7"/>
        <v>33.08530225</v>
      </c>
      <c r="L16" s="24">
        <f t="shared" si="7"/>
        <v>33.08530225</v>
      </c>
      <c r="M16" s="24">
        <f t="shared" si="7"/>
        <v>33.08530225</v>
      </c>
      <c r="N16" s="24">
        <f t="shared" si="7"/>
        <v>33.08530225</v>
      </c>
      <c r="O16" s="24">
        <f t="shared" si="7"/>
        <v>33.08530225</v>
      </c>
      <c r="P16" s="24">
        <f t="shared" si="7"/>
        <v>33.08530225</v>
      </c>
      <c r="Q16" s="24">
        <f t="shared" si="7"/>
        <v>33.08530225</v>
      </c>
      <c r="R16" s="24">
        <f t="shared" si="7"/>
        <v>33.08530225</v>
      </c>
      <c r="S16" s="24">
        <f t="shared" si="7"/>
        <v>33.08530225</v>
      </c>
      <c r="T16" s="24">
        <f t="shared" si="7"/>
        <v>33.08530225</v>
      </c>
      <c r="U16" s="24">
        <f t="shared" si="7"/>
        <v>33.08530225</v>
      </c>
      <c r="V16" s="24">
        <f t="shared" si="7"/>
        <v>33.08530225</v>
      </c>
      <c r="W16" s="24">
        <f t="shared" si="7"/>
        <v>33.08530225</v>
      </c>
      <c r="X16" s="23"/>
      <c r="Y16" s="23"/>
    </row>
    <row r="17" spans="1:25" ht="18" customHeight="1">
      <c r="A17" s="47" t="s">
        <v>124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8" customHeight="1">
      <c r="A18" s="47" t="s">
        <v>125</v>
      </c>
      <c r="B18" s="24">
        <f>'贷款表'!D11</f>
        <v>0</v>
      </c>
      <c r="C18" s="24">
        <f>'贷款表'!E11</f>
        <v>0</v>
      </c>
      <c r="D18" s="24">
        <f>'贷款表'!F11</f>
        <v>0</v>
      </c>
      <c r="E18" s="26">
        <f>'贷款表'!G11</f>
        <v>0</v>
      </c>
      <c r="F18" s="26">
        <f>'贷款表'!H11</f>
        <v>0</v>
      </c>
      <c r="G18" s="26">
        <f>'贷款表'!I11</f>
        <v>0</v>
      </c>
      <c r="H18" s="26">
        <f>'贷款表'!J11</f>
        <v>0</v>
      </c>
      <c r="I18" s="26">
        <f>'贷款表'!K11</f>
        <v>0</v>
      </c>
      <c r="J18" s="26">
        <f>'贷款表'!L11</f>
        <v>0</v>
      </c>
      <c r="K18" s="26">
        <f>'贷款表'!M11</f>
        <v>0</v>
      </c>
      <c r="L18" s="26">
        <f>'贷款表'!N11</f>
        <v>0</v>
      </c>
      <c r="M18" s="26">
        <f>'贷款表'!O11</f>
        <v>0</v>
      </c>
      <c r="N18" s="26">
        <f>'贷款表'!P11</f>
        <v>0</v>
      </c>
      <c r="O18" s="26">
        <f>'贷款表'!Q11</f>
        <v>0</v>
      </c>
      <c r="P18" s="26">
        <f>'贷款表'!R11</f>
        <v>0</v>
      </c>
      <c r="Q18" s="26">
        <f>'贷款表'!S11</f>
        <v>0</v>
      </c>
      <c r="R18" s="26">
        <f>'贷款表'!T11</f>
        <v>0</v>
      </c>
      <c r="S18" s="26">
        <f>'贷款表'!U11</f>
        <v>0</v>
      </c>
      <c r="T18" s="26">
        <f>'贷款表'!V11</f>
        <v>0</v>
      </c>
      <c r="U18" s="26">
        <f>'贷款表'!W11</f>
        <v>0</v>
      </c>
      <c r="V18" s="26">
        <f>'贷款表'!X11</f>
        <v>0</v>
      </c>
      <c r="W18" s="26">
        <f>'贷款表'!Y11</f>
        <v>0</v>
      </c>
      <c r="X18" s="23"/>
      <c r="Y18" s="23"/>
    </row>
    <row r="19" spans="1:25" ht="18" customHeight="1">
      <c r="A19" s="47" t="s">
        <v>126</v>
      </c>
      <c r="B19" s="35">
        <f aca="true" t="shared" si="8" ref="B19:W19">B14+B18</f>
        <v>0</v>
      </c>
      <c r="C19" s="35">
        <f t="shared" si="8"/>
        <v>0</v>
      </c>
      <c r="D19" s="35">
        <f t="shared" si="8"/>
        <v>59.84530225</v>
      </c>
      <c r="E19" s="35">
        <f t="shared" si="8"/>
        <v>59.84530225</v>
      </c>
      <c r="F19" s="35">
        <f t="shared" si="8"/>
        <v>59.84530225</v>
      </c>
      <c r="G19" s="35">
        <f t="shared" si="8"/>
        <v>59.84530225</v>
      </c>
      <c r="H19" s="35">
        <f t="shared" si="8"/>
        <v>59.84530225</v>
      </c>
      <c r="I19" s="35">
        <f t="shared" si="8"/>
        <v>59.84530225</v>
      </c>
      <c r="J19" s="35">
        <f t="shared" si="8"/>
        <v>59.84530225</v>
      </c>
      <c r="K19" s="35">
        <f t="shared" si="8"/>
        <v>59.84530225</v>
      </c>
      <c r="L19" s="35">
        <f t="shared" si="8"/>
        <v>59.84530225</v>
      </c>
      <c r="M19" s="35">
        <f t="shared" si="8"/>
        <v>59.84530225</v>
      </c>
      <c r="N19" s="35">
        <f t="shared" si="8"/>
        <v>59.84530225</v>
      </c>
      <c r="O19" s="35">
        <f t="shared" si="8"/>
        <v>59.84530225</v>
      </c>
      <c r="P19" s="35">
        <f t="shared" si="8"/>
        <v>59.84530225</v>
      </c>
      <c r="Q19" s="35">
        <f t="shared" si="8"/>
        <v>59.84530225</v>
      </c>
      <c r="R19" s="35">
        <f t="shared" si="8"/>
        <v>59.84530225</v>
      </c>
      <c r="S19" s="35">
        <f t="shared" si="8"/>
        <v>59.84530225</v>
      </c>
      <c r="T19" s="35">
        <f t="shared" si="8"/>
        <v>59.84530225</v>
      </c>
      <c r="U19" s="35">
        <f t="shared" si="8"/>
        <v>59.84530225</v>
      </c>
      <c r="V19" s="35">
        <f t="shared" si="8"/>
        <v>59.84530225</v>
      </c>
      <c r="W19" s="35">
        <f t="shared" si="8"/>
        <v>59.84530225</v>
      </c>
      <c r="X19" s="23"/>
      <c r="Y19" s="23"/>
    </row>
    <row r="20" spans="1:25" ht="18" customHeight="1">
      <c r="A20" s="47" t="s">
        <v>127</v>
      </c>
      <c r="B20" s="24">
        <f>'数据表'!D13-'数据表'!D17</f>
        <v>1250</v>
      </c>
      <c r="C20" s="24">
        <f>B20+'数据表'!D14-'数据表'!D18</f>
        <v>2503.73</v>
      </c>
      <c r="D20" s="24">
        <f aca="true" t="shared" si="9" ref="D20:W20">SUM(D21:D23)</f>
        <v>2610.9169318197355</v>
      </c>
      <c r="E20" s="24">
        <f t="shared" si="9"/>
        <v>2703.9244483894704</v>
      </c>
      <c r="F20" s="24">
        <f t="shared" si="9"/>
        <v>2796.9319649592057</v>
      </c>
      <c r="G20" s="24">
        <f t="shared" si="9"/>
        <v>2889.9394815289406</v>
      </c>
      <c r="H20" s="24">
        <f t="shared" si="9"/>
        <v>2982.946998098676</v>
      </c>
      <c r="I20" s="24">
        <f t="shared" si="9"/>
        <v>3075.9545146684113</v>
      </c>
      <c r="J20" s="24">
        <f t="shared" si="9"/>
        <v>3168.9620312381467</v>
      </c>
      <c r="K20" s="24">
        <f t="shared" si="9"/>
        <v>3261.9695478078816</v>
      </c>
      <c r="L20" s="24">
        <f t="shared" si="9"/>
        <v>3354.9770643776164</v>
      </c>
      <c r="M20" s="24">
        <f t="shared" si="9"/>
        <v>3447.984580947352</v>
      </c>
      <c r="N20" s="24">
        <f t="shared" si="9"/>
        <v>3559.285107517087</v>
      </c>
      <c r="O20" s="24">
        <f t="shared" si="9"/>
        <v>3670.585634086822</v>
      </c>
      <c r="P20" s="24">
        <f t="shared" si="9"/>
        <v>3781.8861606565574</v>
      </c>
      <c r="Q20" s="24">
        <f t="shared" si="9"/>
        <v>3893.1866872262926</v>
      </c>
      <c r="R20" s="24">
        <f t="shared" si="9"/>
        <v>4004.487213796028</v>
      </c>
      <c r="S20" s="24">
        <f t="shared" si="9"/>
        <v>4115.787740365763</v>
      </c>
      <c r="T20" s="24">
        <f t="shared" si="9"/>
        <v>4227.088266935498</v>
      </c>
      <c r="U20" s="24">
        <f t="shared" si="9"/>
        <v>4338.3887935052335</v>
      </c>
      <c r="V20" s="24">
        <f t="shared" si="9"/>
        <v>4449.689320074969</v>
      </c>
      <c r="W20" s="24">
        <f t="shared" si="9"/>
        <v>4560.989846644704</v>
      </c>
      <c r="X20" s="23"/>
      <c r="Y20" s="23"/>
    </row>
    <row r="21" spans="1:25" ht="18" customHeight="1">
      <c r="A21" s="47" t="s">
        <v>128</v>
      </c>
      <c r="B21" s="24">
        <f>'数据表'!D13-'数据表'!D17</f>
        <v>1250</v>
      </c>
      <c r="C21" s="24">
        <f>B21+'数据表'!D14-'数据表'!D18</f>
        <v>2503.73</v>
      </c>
      <c r="D21" s="24">
        <f>C21+'资金来源表'!D13</f>
        <v>2517.90941525</v>
      </c>
      <c r="E21" s="26">
        <f aca="true" t="shared" si="10" ref="E21:W21">D21</f>
        <v>2517.90941525</v>
      </c>
      <c r="F21" s="26">
        <f t="shared" si="10"/>
        <v>2517.90941525</v>
      </c>
      <c r="G21" s="26">
        <f t="shared" si="10"/>
        <v>2517.90941525</v>
      </c>
      <c r="H21" s="26">
        <f t="shared" si="10"/>
        <v>2517.90941525</v>
      </c>
      <c r="I21" s="26">
        <f t="shared" si="10"/>
        <v>2517.90941525</v>
      </c>
      <c r="J21" s="26">
        <f t="shared" si="10"/>
        <v>2517.90941525</v>
      </c>
      <c r="K21" s="26">
        <f t="shared" si="10"/>
        <v>2517.90941525</v>
      </c>
      <c r="L21" s="26">
        <f t="shared" si="10"/>
        <v>2517.90941525</v>
      </c>
      <c r="M21" s="26">
        <f t="shared" si="10"/>
        <v>2517.90941525</v>
      </c>
      <c r="N21" s="26">
        <f t="shared" si="10"/>
        <v>2517.90941525</v>
      </c>
      <c r="O21" s="26">
        <f t="shared" si="10"/>
        <v>2517.90941525</v>
      </c>
      <c r="P21" s="26">
        <f t="shared" si="10"/>
        <v>2517.90941525</v>
      </c>
      <c r="Q21" s="26">
        <f t="shared" si="10"/>
        <v>2517.90941525</v>
      </c>
      <c r="R21" s="26">
        <f t="shared" si="10"/>
        <v>2517.90941525</v>
      </c>
      <c r="S21" s="26">
        <f t="shared" si="10"/>
        <v>2517.90941525</v>
      </c>
      <c r="T21" s="26">
        <f t="shared" si="10"/>
        <v>2517.90941525</v>
      </c>
      <c r="U21" s="26">
        <f t="shared" si="10"/>
        <v>2517.90941525</v>
      </c>
      <c r="V21" s="26">
        <f t="shared" si="10"/>
        <v>2517.90941525</v>
      </c>
      <c r="W21" s="26">
        <f t="shared" si="10"/>
        <v>2517.90941525</v>
      </c>
      <c r="X21" s="23"/>
      <c r="Y21" s="23"/>
    </row>
    <row r="22" spans="1:25" ht="18" customHeight="1">
      <c r="A22" s="47" t="s">
        <v>129</v>
      </c>
      <c r="B22" s="23"/>
      <c r="C22" s="23"/>
      <c r="D22" s="24">
        <f>'损益表'!D17</f>
        <v>0</v>
      </c>
      <c r="E22" s="24">
        <f>D22+'损益表'!E17</f>
        <v>0</v>
      </c>
      <c r="F22" s="24">
        <f>E22+'损益表'!F17</f>
        <v>0</v>
      </c>
      <c r="G22" s="24">
        <f>F22+'损益表'!G17</f>
        <v>0</v>
      </c>
      <c r="H22" s="24">
        <f>G22+'损益表'!H17</f>
        <v>0</v>
      </c>
      <c r="I22" s="24">
        <f>H22+'损益表'!I17</f>
        <v>0</v>
      </c>
      <c r="J22" s="24">
        <f>I22+'损益表'!J17</f>
        <v>0</v>
      </c>
      <c r="K22" s="24">
        <f>J22+'损益表'!K17</f>
        <v>0</v>
      </c>
      <c r="L22" s="24">
        <f>K22+'损益表'!L17</f>
        <v>0</v>
      </c>
      <c r="M22" s="24">
        <f>L22+'损益表'!M17</f>
        <v>0</v>
      </c>
      <c r="N22" s="24">
        <f>M22+'损益表'!N17</f>
        <v>0</v>
      </c>
      <c r="O22" s="24">
        <f>N22+'损益表'!O17</f>
        <v>0</v>
      </c>
      <c r="P22" s="24">
        <f>O22+'损益表'!P17</f>
        <v>0</v>
      </c>
      <c r="Q22" s="24">
        <f>P22+'损益表'!Q17</f>
        <v>0</v>
      </c>
      <c r="R22" s="24">
        <f>Q22+'损益表'!R17</f>
        <v>0</v>
      </c>
      <c r="S22" s="24">
        <f>R22+'损益表'!S17</f>
        <v>0</v>
      </c>
      <c r="T22" s="24">
        <f>S22+'损益表'!T17</f>
        <v>0</v>
      </c>
      <c r="U22" s="24">
        <f>T22+'损益表'!U17</f>
        <v>0</v>
      </c>
      <c r="V22" s="24">
        <f>U22+'损益表'!V17</f>
        <v>0</v>
      </c>
      <c r="W22" s="24">
        <f>V22+'损益表'!W17</f>
        <v>0</v>
      </c>
      <c r="X22" s="23"/>
      <c r="Y22" s="23"/>
    </row>
    <row r="23" spans="1:25" ht="18" customHeight="1">
      <c r="A23" s="47" t="s">
        <v>73</v>
      </c>
      <c r="B23" s="23"/>
      <c r="C23" s="23"/>
      <c r="D23" s="24">
        <f>'损益表'!D20</f>
        <v>93.00751656973517</v>
      </c>
      <c r="E23" s="24">
        <f>'损益表'!E20</f>
        <v>186.01503313947035</v>
      </c>
      <c r="F23" s="24">
        <f>'损益表'!F20</f>
        <v>279.0225497092055</v>
      </c>
      <c r="G23" s="24">
        <f>'损益表'!G20</f>
        <v>372.0300662789407</v>
      </c>
      <c r="H23" s="24">
        <f>'损益表'!H20</f>
        <v>465.03758284867587</v>
      </c>
      <c r="I23" s="24">
        <f>'损益表'!I20</f>
        <v>558.045099418411</v>
      </c>
      <c r="J23" s="24">
        <f>'损益表'!J20</f>
        <v>651.0526159881463</v>
      </c>
      <c r="K23" s="24">
        <f>'损益表'!K20</f>
        <v>744.0601325578814</v>
      </c>
      <c r="L23" s="24">
        <f>'损益表'!L20</f>
        <v>837.0676491276165</v>
      </c>
      <c r="M23" s="24">
        <f>'损益表'!M20</f>
        <v>930.0751656973516</v>
      </c>
      <c r="N23" s="24">
        <f>'损益表'!N20</f>
        <v>1041.3756922670868</v>
      </c>
      <c r="O23" s="24">
        <f>'损益表'!O20</f>
        <v>1152.676218836822</v>
      </c>
      <c r="P23" s="24">
        <f>'损益表'!P20</f>
        <v>1263.9767454065573</v>
      </c>
      <c r="Q23" s="24">
        <f>'损益表'!Q20</f>
        <v>1375.2772719762925</v>
      </c>
      <c r="R23" s="24">
        <f>'损益表'!R20</f>
        <v>1486.5777985460277</v>
      </c>
      <c r="S23" s="24">
        <f>'损益表'!S20</f>
        <v>1597.878325115763</v>
      </c>
      <c r="T23" s="24">
        <f>'损益表'!T20</f>
        <v>1709.178851685498</v>
      </c>
      <c r="U23" s="24">
        <f>'损益表'!U20</f>
        <v>1820.4793782552333</v>
      </c>
      <c r="V23" s="24">
        <f>'损益表'!V20</f>
        <v>1931.7799048249685</v>
      </c>
      <c r="W23" s="24">
        <f>'损益表'!W20</f>
        <v>2043.0804313947037</v>
      </c>
      <c r="X23" s="23"/>
      <c r="Y23" s="23"/>
    </row>
  </sheetData>
  <mergeCells count="2">
    <mergeCell ref="D1:H1"/>
    <mergeCell ref="P1:T1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3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A64"/>
  <sheetViews>
    <sheetView zoomScale="75" zoomScaleNormal="75" workbookViewId="0" topLeftCell="A1">
      <selection activeCell="A25" sqref="A25:IV69"/>
    </sheetView>
  </sheetViews>
  <sheetFormatPr defaultColWidth="9.00390625" defaultRowHeight="14.25"/>
  <cols>
    <col min="1" max="1" width="22.25390625" style="0" customWidth="1"/>
    <col min="2" max="2" width="7.75390625" style="0" customWidth="1"/>
    <col min="3" max="27" width="8.125" style="0" customWidth="1"/>
  </cols>
  <sheetData>
    <row r="2" spans="3:24" ht="50.25" customHeight="1">
      <c r="C2" s="46"/>
      <c r="D2" s="85" t="s">
        <v>130</v>
      </c>
      <c r="E2" s="85"/>
      <c r="F2" s="85"/>
      <c r="G2" s="85"/>
      <c r="H2" s="85"/>
      <c r="I2" s="85"/>
      <c r="J2" s="85"/>
      <c r="K2" s="85"/>
      <c r="L2" s="40"/>
      <c r="M2" s="40"/>
      <c r="N2" s="40"/>
      <c r="O2" s="53"/>
      <c r="P2" s="53"/>
      <c r="Q2" s="85" t="s">
        <v>130</v>
      </c>
      <c r="R2" s="85"/>
      <c r="S2" s="85"/>
      <c r="T2" s="85"/>
      <c r="U2" s="85"/>
      <c r="V2" s="85"/>
      <c r="W2" s="85"/>
      <c r="X2" s="85"/>
    </row>
    <row r="3" ht="10.5" customHeight="1"/>
    <row r="4" spans="1:27" ht="30" customHeight="1">
      <c r="A4" s="20" t="s">
        <v>31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/>
      <c r="AA4" s="20" t="s">
        <v>29</v>
      </c>
    </row>
    <row r="5" spans="1:27" ht="19.5" customHeight="1">
      <c r="A5" s="21" t="s">
        <v>58</v>
      </c>
      <c r="B5" s="23"/>
      <c r="C5" s="23"/>
      <c r="D5" s="24">
        <f>'数据表'!J2</f>
        <v>100</v>
      </c>
      <c r="E5" s="24">
        <f>'数据表'!J3</f>
        <v>100</v>
      </c>
      <c r="F5" s="24">
        <f>'数据表'!J4</f>
        <v>100</v>
      </c>
      <c r="G5" s="24">
        <f>'数据表'!J5</f>
        <v>100</v>
      </c>
      <c r="H5" s="24">
        <f>'数据表'!J6</f>
        <v>100</v>
      </c>
      <c r="I5" s="24">
        <f>'数据表'!J7</f>
        <v>100</v>
      </c>
      <c r="J5" s="24">
        <f>'数据表'!J8</f>
        <v>100</v>
      </c>
      <c r="K5" s="24">
        <f>'数据表'!J9</f>
        <v>100</v>
      </c>
      <c r="L5" s="24">
        <f>'数据表'!J10</f>
        <v>100</v>
      </c>
      <c r="M5" s="24">
        <f>'数据表'!J11</f>
        <v>100</v>
      </c>
      <c r="N5" s="24">
        <v>100</v>
      </c>
      <c r="O5" s="24">
        <v>100</v>
      </c>
      <c r="P5" s="24">
        <v>100</v>
      </c>
      <c r="Q5" s="24">
        <v>100</v>
      </c>
      <c r="R5" s="24">
        <v>100</v>
      </c>
      <c r="S5" s="24">
        <v>100</v>
      </c>
      <c r="T5" s="24">
        <v>100</v>
      </c>
      <c r="U5" s="24">
        <v>100</v>
      </c>
      <c r="V5" s="24">
        <v>100</v>
      </c>
      <c r="W5" s="24">
        <v>100</v>
      </c>
      <c r="X5" s="24"/>
      <c r="Y5" s="24"/>
      <c r="Z5" s="23"/>
      <c r="AA5" s="24"/>
    </row>
    <row r="6" spans="1:27" ht="19.5" customHeight="1">
      <c r="A6" s="21" t="s">
        <v>131</v>
      </c>
      <c r="B6" s="23"/>
      <c r="C6" s="23"/>
      <c r="D6" s="24">
        <f aca="true" t="shared" si="0" ref="D6:V6">D7</f>
        <v>510.99999999999994</v>
      </c>
      <c r="E6" s="24">
        <f t="shared" si="0"/>
        <v>510.99999999999994</v>
      </c>
      <c r="F6" s="24">
        <f t="shared" si="0"/>
        <v>510.99999999999994</v>
      </c>
      <c r="G6" s="24">
        <f t="shared" si="0"/>
        <v>510.99999999999994</v>
      </c>
      <c r="H6" s="24">
        <f t="shared" si="0"/>
        <v>510.99999999999994</v>
      </c>
      <c r="I6" s="24">
        <f t="shared" si="0"/>
        <v>510.99999999999994</v>
      </c>
      <c r="J6" s="24">
        <f t="shared" si="0"/>
        <v>510.99999999999994</v>
      </c>
      <c r="K6" s="24">
        <f t="shared" si="0"/>
        <v>510.99999999999994</v>
      </c>
      <c r="L6" s="24">
        <f t="shared" si="0"/>
        <v>510.99999999999994</v>
      </c>
      <c r="M6" s="24">
        <f t="shared" si="0"/>
        <v>510.99999999999994</v>
      </c>
      <c r="N6" s="24">
        <f t="shared" si="0"/>
        <v>510.99999999999994</v>
      </c>
      <c r="O6" s="24">
        <f t="shared" si="0"/>
        <v>510.99999999999994</v>
      </c>
      <c r="P6" s="24">
        <f t="shared" si="0"/>
        <v>510.99999999999994</v>
      </c>
      <c r="Q6" s="24">
        <f t="shared" si="0"/>
        <v>510.99999999999994</v>
      </c>
      <c r="R6" s="24">
        <f t="shared" si="0"/>
        <v>510.99999999999994</v>
      </c>
      <c r="S6" s="24">
        <f t="shared" si="0"/>
        <v>510.99999999999994</v>
      </c>
      <c r="T6" s="24">
        <f t="shared" si="0"/>
        <v>510.99999999999994</v>
      </c>
      <c r="U6" s="24">
        <f t="shared" si="0"/>
        <v>510.99999999999994</v>
      </c>
      <c r="V6" s="24">
        <f t="shared" si="0"/>
        <v>510.99999999999994</v>
      </c>
      <c r="W6" s="26">
        <f>SUM(W7:W9)</f>
        <v>825.9487174999999</v>
      </c>
      <c r="X6" s="24"/>
      <c r="Y6" s="24"/>
      <c r="Z6" s="23"/>
      <c r="AA6" s="24">
        <f>SUM(D6:Y6)</f>
        <v>10534.948717499998</v>
      </c>
    </row>
    <row r="7" spans="1:27" ht="19.5" customHeight="1">
      <c r="A7" s="21" t="s">
        <v>132</v>
      </c>
      <c r="B7" s="23"/>
      <c r="C7" s="23"/>
      <c r="D7" s="24">
        <f>'损益表'!D5</f>
        <v>510.99999999999994</v>
      </c>
      <c r="E7" s="24">
        <f>'损益表'!E5</f>
        <v>510.99999999999994</v>
      </c>
      <c r="F7" s="24">
        <f>'损益表'!F5</f>
        <v>510.99999999999994</v>
      </c>
      <c r="G7" s="24">
        <f>'损益表'!G5</f>
        <v>510.99999999999994</v>
      </c>
      <c r="H7" s="24">
        <f>'损益表'!H5</f>
        <v>510.99999999999994</v>
      </c>
      <c r="I7" s="24">
        <f>'损益表'!I5</f>
        <v>510.99999999999994</v>
      </c>
      <c r="J7" s="24">
        <f>'损益表'!J5</f>
        <v>510.99999999999994</v>
      </c>
      <c r="K7" s="24">
        <f>'损益表'!K5</f>
        <v>510.99999999999994</v>
      </c>
      <c r="L7" s="24">
        <f>'损益表'!L5</f>
        <v>510.99999999999994</v>
      </c>
      <c r="M7" s="24">
        <f>'损益表'!M5</f>
        <v>510.99999999999994</v>
      </c>
      <c r="N7" s="24">
        <f>'损益表'!N5</f>
        <v>510.99999999999994</v>
      </c>
      <c r="O7" s="24">
        <f>'损益表'!O5</f>
        <v>510.99999999999994</v>
      </c>
      <c r="P7" s="24">
        <f>'损益表'!P5</f>
        <v>510.99999999999994</v>
      </c>
      <c r="Q7" s="24">
        <f>'损益表'!Q5</f>
        <v>510.99999999999994</v>
      </c>
      <c r="R7" s="24">
        <f>'损益表'!R5</f>
        <v>510.99999999999994</v>
      </c>
      <c r="S7" s="24">
        <f>'损益表'!S5</f>
        <v>510.99999999999994</v>
      </c>
      <c r="T7" s="24">
        <f>'损益表'!T5</f>
        <v>510.99999999999994</v>
      </c>
      <c r="U7" s="24">
        <f>'损益表'!U5</f>
        <v>510.99999999999994</v>
      </c>
      <c r="V7" s="24">
        <f>'损益表'!V5</f>
        <v>510.99999999999994</v>
      </c>
      <c r="W7" s="24">
        <f>'损益表'!W5</f>
        <v>510.99999999999994</v>
      </c>
      <c r="X7" s="24"/>
      <c r="Y7" s="24"/>
      <c r="Z7" s="23"/>
      <c r="AA7" s="24">
        <f>SUM(D7:Y7)</f>
        <v>10219.999999999998</v>
      </c>
    </row>
    <row r="8" spans="1:27" ht="19.5" customHeight="1">
      <c r="A8" s="21" t="s">
        <v>101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f>'数据表'!D12</f>
        <v>267.68399999999997</v>
      </c>
      <c r="X8" s="23"/>
      <c r="Y8" s="23"/>
      <c r="Z8" s="23"/>
      <c r="AA8" s="24">
        <f>W8</f>
        <v>267.68399999999997</v>
      </c>
    </row>
    <row r="9" spans="1:27" ht="19.5" customHeight="1">
      <c r="A9" s="21" t="s">
        <v>102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>
        <f>'数据表'!D9</f>
        <v>47.264717499999996</v>
      </c>
      <c r="X9" s="23"/>
      <c r="Y9" s="23"/>
      <c r="Z9" s="23"/>
      <c r="AA9" s="24">
        <f>W9</f>
        <v>47.264717499999996</v>
      </c>
    </row>
    <row r="10" spans="1:27" ht="19.5" customHeight="1">
      <c r="A10" s="21" t="s">
        <v>133</v>
      </c>
      <c r="B10" s="24">
        <f aca="true" t="shared" si="1" ref="B10:W10">SUM(B11:B15)</f>
        <v>1250</v>
      </c>
      <c r="C10" s="24">
        <f t="shared" si="1"/>
        <v>1253.73</v>
      </c>
      <c r="D10" s="24">
        <f t="shared" si="1"/>
        <v>337.6425998403173</v>
      </c>
      <c r="E10" s="24">
        <f t="shared" si="1"/>
        <v>290.3778823403173</v>
      </c>
      <c r="F10" s="24">
        <f t="shared" si="1"/>
        <v>290.3778823403173</v>
      </c>
      <c r="G10" s="24">
        <f t="shared" si="1"/>
        <v>290.3778823403173</v>
      </c>
      <c r="H10" s="24">
        <f t="shared" si="1"/>
        <v>290.3778823403173</v>
      </c>
      <c r="I10" s="24">
        <f t="shared" si="1"/>
        <v>290.3778823403173</v>
      </c>
      <c r="J10" s="24">
        <f t="shared" si="1"/>
        <v>290.3778823403173</v>
      </c>
      <c r="K10" s="24">
        <f t="shared" si="1"/>
        <v>290.3778823403173</v>
      </c>
      <c r="L10" s="24">
        <f t="shared" si="1"/>
        <v>290.3778823403173</v>
      </c>
      <c r="M10" s="24">
        <f t="shared" si="1"/>
        <v>290.3778823403173</v>
      </c>
      <c r="N10" s="24">
        <f t="shared" si="1"/>
        <v>299.3878723403173</v>
      </c>
      <c r="O10" s="24">
        <f t="shared" si="1"/>
        <v>299.3878723403173</v>
      </c>
      <c r="P10" s="24">
        <f t="shared" si="1"/>
        <v>299.3878723403173</v>
      </c>
      <c r="Q10" s="24">
        <f t="shared" si="1"/>
        <v>299.3878723403173</v>
      </c>
      <c r="R10" s="24">
        <f t="shared" si="1"/>
        <v>299.3878723403173</v>
      </c>
      <c r="S10" s="24">
        <f t="shared" si="1"/>
        <v>299.3878723403173</v>
      </c>
      <c r="T10" s="24">
        <f t="shared" si="1"/>
        <v>299.3878723403173</v>
      </c>
      <c r="U10" s="24">
        <f t="shared" si="1"/>
        <v>299.3878723403173</v>
      </c>
      <c r="V10" s="24">
        <f t="shared" si="1"/>
        <v>299.3878723403173</v>
      </c>
      <c r="W10" s="24">
        <f t="shared" si="1"/>
        <v>299.3878723403173</v>
      </c>
      <c r="X10" s="23"/>
      <c r="Y10" s="23"/>
      <c r="Z10" s="23"/>
      <c r="AA10" s="24">
        <f>SUM(B10:X10)</f>
        <v>8448.652264306349</v>
      </c>
    </row>
    <row r="11" spans="1:27" ht="19.5" customHeight="1">
      <c r="A11" s="21" t="s">
        <v>104</v>
      </c>
      <c r="B11" s="24">
        <f>'数据表'!D13</f>
        <v>1250</v>
      </c>
      <c r="C11" s="24">
        <f>'数据表'!D14</f>
        <v>1253.73</v>
      </c>
      <c r="D11" s="23"/>
      <c r="E11" s="23"/>
      <c r="F11" s="23"/>
      <c r="G11" s="23"/>
      <c r="H11" s="23"/>
      <c r="I11" s="23"/>
      <c r="J11" s="49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>
        <f>SUM(B11:E11)</f>
        <v>2503.73</v>
      </c>
    </row>
    <row r="12" spans="1:27" ht="19.5" customHeight="1">
      <c r="A12" s="21" t="s">
        <v>55</v>
      </c>
      <c r="B12" s="23"/>
      <c r="C12" s="23"/>
      <c r="D12" s="24">
        <f>'资金来源表'!D19</f>
        <v>47.264717499999996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>
        <f>D12</f>
        <v>47.264717499999996</v>
      </c>
    </row>
    <row r="13" spans="1:27" ht="19.5" customHeight="1">
      <c r="A13" s="21" t="s">
        <v>53</v>
      </c>
      <c r="B13" s="23"/>
      <c r="C13" s="23"/>
      <c r="D13" s="24">
        <f>'成本表'!G22</f>
        <v>189.05886999999998</v>
      </c>
      <c r="E13" s="24">
        <f>'成本表'!H22</f>
        <v>189.05886999999998</v>
      </c>
      <c r="F13" s="24">
        <f>'成本表'!I22</f>
        <v>189.05886999999998</v>
      </c>
      <c r="G13" s="24">
        <f>'成本表'!J22</f>
        <v>189.05886999999998</v>
      </c>
      <c r="H13" s="24">
        <f>'成本表'!K22</f>
        <v>189.05886999999998</v>
      </c>
      <c r="I13" s="24">
        <f>'成本表'!L22</f>
        <v>189.05886999999998</v>
      </c>
      <c r="J13" s="24">
        <f>'成本表'!M22</f>
        <v>189.05886999999998</v>
      </c>
      <c r="K13" s="24">
        <f>'成本表'!N22</f>
        <v>189.05886999999998</v>
      </c>
      <c r="L13" s="24">
        <f>'成本表'!O22</f>
        <v>189.05886999999998</v>
      </c>
      <c r="M13" s="24">
        <f>'成本表'!P22</f>
        <v>189.05886999999998</v>
      </c>
      <c r="N13" s="24">
        <f>'成本表'!Q22</f>
        <v>189.05886999999998</v>
      </c>
      <c r="O13" s="24">
        <f>'成本表'!R22</f>
        <v>189.05886999999998</v>
      </c>
      <c r="P13" s="24">
        <f>'成本表'!S22</f>
        <v>189.05886999999998</v>
      </c>
      <c r="Q13" s="24">
        <f>'成本表'!T22</f>
        <v>189.05886999999998</v>
      </c>
      <c r="R13" s="24">
        <f>'成本表'!U22</f>
        <v>189.05886999999998</v>
      </c>
      <c r="S13" s="24">
        <f>'成本表'!V22</f>
        <v>189.05886999999998</v>
      </c>
      <c r="T13" s="24">
        <f>'成本表'!W22</f>
        <v>189.05886999999998</v>
      </c>
      <c r="U13" s="24">
        <f>'成本表'!X22</f>
        <v>189.05886999999998</v>
      </c>
      <c r="V13" s="24">
        <f>'成本表'!Y22</f>
        <v>189.05886999999998</v>
      </c>
      <c r="W13" s="24">
        <f>'成本表'!Z22</f>
        <v>189.05886999999998</v>
      </c>
      <c r="X13" s="23"/>
      <c r="Y13" s="23"/>
      <c r="Z13" s="23"/>
      <c r="AA13" s="24">
        <f>SUM(D13:X13)</f>
        <v>3781.1773999999987</v>
      </c>
    </row>
    <row r="14" spans="1:27" ht="19.5" customHeight="1">
      <c r="A14" s="21" t="s">
        <v>60</v>
      </c>
      <c r="B14" s="23"/>
      <c r="C14" s="23"/>
      <c r="D14" s="24">
        <f>'损益表'!D6</f>
        <v>55.50933999999999</v>
      </c>
      <c r="E14" s="24">
        <f>'损益表'!E6</f>
        <v>55.50933999999999</v>
      </c>
      <c r="F14" s="24">
        <f>'损益表'!F6</f>
        <v>55.50933999999999</v>
      </c>
      <c r="G14" s="24">
        <f>'损益表'!G6</f>
        <v>55.50933999999999</v>
      </c>
      <c r="H14" s="24">
        <f>'损益表'!H6</f>
        <v>55.50933999999999</v>
      </c>
      <c r="I14" s="24">
        <f>'损益表'!I6</f>
        <v>55.50933999999999</v>
      </c>
      <c r="J14" s="24">
        <f>'损益表'!J6</f>
        <v>55.50933999999999</v>
      </c>
      <c r="K14" s="24">
        <f>'损益表'!K6</f>
        <v>55.50933999999999</v>
      </c>
      <c r="L14" s="24">
        <f>'损益表'!L6</f>
        <v>55.50933999999999</v>
      </c>
      <c r="M14" s="24">
        <f>'损益表'!M6</f>
        <v>55.50933999999999</v>
      </c>
      <c r="N14" s="24">
        <f>'损益表'!N6</f>
        <v>55.50933999999999</v>
      </c>
      <c r="O14" s="24">
        <f>'损益表'!O6</f>
        <v>55.50933999999999</v>
      </c>
      <c r="P14" s="24">
        <f>'损益表'!P6</f>
        <v>55.50933999999999</v>
      </c>
      <c r="Q14" s="24">
        <f>'损益表'!Q6</f>
        <v>55.50933999999999</v>
      </c>
      <c r="R14" s="24">
        <f>'损益表'!R6</f>
        <v>55.50933999999999</v>
      </c>
      <c r="S14" s="24">
        <f>'损益表'!S6</f>
        <v>55.50933999999999</v>
      </c>
      <c r="T14" s="24">
        <f>'损益表'!T6</f>
        <v>55.50933999999999</v>
      </c>
      <c r="U14" s="24">
        <f>'损益表'!U6</f>
        <v>55.50933999999999</v>
      </c>
      <c r="V14" s="24">
        <f>'损益表'!V6</f>
        <v>55.50933999999999</v>
      </c>
      <c r="W14" s="24">
        <f>'损益表'!W6</f>
        <v>55.50933999999999</v>
      </c>
      <c r="X14" s="23"/>
      <c r="Y14" s="23"/>
      <c r="Z14" s="23"/>
      <c r="AA14" s="24">
        <f>SUM(D14:X14)</f>
        <v>1110.1867999999997</v>
      </c>
    </row>
    <row r="15" spans="1:27" ht="19.5" customHeight="1">
      <c r="A15" s="21" t="s">
        <v>67</v>
      </c>
      <c r="B15" s="23"/>
      <c r="C15" s="23"/>
      <c r="D15" s="24">
        <f>'损益表'!D14</f>
        <v>45.80967234031733</v>
      </c>
      <c r="E15" s="24">
        <f>'损益表'!E14</f>
        <v>45.80967234031733</v>
      </c>
      <c r="F15" s="24">
        <f>'损益表'!F14</f>
        <v>45.80967234031733</v>
      </c>
      <c r="G15" s="24">
        <f>'损益表'!G14</f>
        <v>45.80967234031733</v>
      </c>
      <c r="H15" s="24">
        <f>'损益表'!H14</f>
        <v>45.80967234031733</v>
      </c>
      <c r="I15" s="24">
        <f>'损益表'!I14</f>
        <v>45.80967234031733</v>
      </c>
      <c r="J15" s="24">
        <f>'损益表'!J14</f>
        <v>45.80967234031733</v>
      </c>
      <c r="K15" s="24">
        <f>'损益表'!K14</f>
        <v>45.80967234031733</v>
      </c>
      <c r="L15" s="24">
        <f>'损益表'!L14</f>
        <v>45.80967234031733</v>
      </c>
      <c r="M15" s="24">
        <f>'损益表'!M14</f>
        <v>45.80967234031733</v>
      </c>
      <c r="N15" s="24">
        <f>'损益表'!N14</f>
        <v>54.81966234031732</v>
      </c>
      <c r="O15" s="24">
        <f>'损益表'!O14</f>
        <v>54.81966234031732</v>
      </c>
      <c r="P15" s="24">
        <f>'损益表'!P14</f>
        <v>54.81966234031732</v>
      </c>
      <c r="Q15" s="24">
        <f>'损益表'!Q14</f>
        <v>54.81966234031732</v>
      </c>
      <c r="R15" s="24">
        <f>'损益表'!R14</f>
        <v>54.81966234031732</v>
      </c>
      <c r="S15" s="24">
        <f>'损益表'!S14</f>
        <v>54.81966234031732</v>
      </c>
      <c r="T15" s="24">
        <f>'损益表'!T14</f>
        <v>54.81966234031732</v>
      </c>
      <c r="U15" s="24">
        <f>'损益表'!U14</f>
        <v>54.81966234031732</v>
      </c>
      <c r="V15" s="24">
        <f>'损益表'!V14</f>
        <v>54.81966234031732</v>
      </c>
      <c r="W15" s="24">
        <f>'损益表'!W14</f>
        <v>54.81966234031732</v>
      </c>
      <c r="X15" s="23"/>
      <c r="Y15" s="23"/>
      <c r="Z15" s="23"/>
      <c r="AA15" s="24">
        <f>SUM(D15:X15)</f>
        <v>1006.2933468063466</v>
      </c>
    </row>
    <row r="16" spans="1:27" ht="19.5" customHeight="1">
      <c r="A16" s="21" t="s">
        <v>134</v>
      </c>
      <c r="B16" s="26">
        <f aca="true" t="shared" si="2" ref="B16:W16">B6-B10</f>
        <v>-1250</v>
      </c>
      <c r="C16" s="26">
        <f t="shared" si="2"/>
        <v>-1253.73</v>
      </c>
      <c r="D16" s="26">
        <f t="shared" si="2"/>
        <v>173.35740015968264</v>
      </c>
      <c r="E16" s="26">
        <f t="shared" si="2"/>
        <v>220.62211765968266</v>
      </c>
      <c r="F16" s="26">
        <f t="shared" si="2"/>
        <v>220.62211765968266</v>
      </c>
      <c r="G16" s="26">
        <f t="shared" si="2"/>
        <v>220.62211765968266</v>
      </c>
      <c r="H16" s="26">
        <f t="shared" si="2"/>
        <v>220.62211765968266</v>
      </c>
      <c r="I16" s="26">
        <f t="shared" si="2"/>
        <v>220.62211765968266</v>
      </c>
      <c r="J16" s="26">
        <f t="shared" si="2"/>
        <v>220.62211765968266</v>
      </c>
      <c r="K16" s="26">
        <f t="shared" si="2"/>
        <v>220.62211765968266</v>
      </c>
      <c r="L16" s="26">
        <f t="shared" si="2"/>
        <v>220.62211765968266</v>
      </c>
      <c r="M16" s="26">
        <f t="shared" si="2"/>
        <v>220.62211765968266</v>
      </c>
      <c r="N16" s="36">
        <f t="shared" si="2"/>
        <v>211.61212765968264</v>
      </c>
      <c r="O16" s="36">
        <f t="shared" si="2"/>
        <v>211.61212765968264</v>
      </c>
      <c r="P16" s="36">
        <f t="shared" si="2"/>
        <v>211.61212765968264</v>
      </c>
      <c r="Q16" s="36">
        <f t="shared" si="2"/>
        <v>211.61212765968264</v>
      </c>
      <c r="R16" s="36">
        <f t="shared" si="2"/>
        <v>211.61212765968264</v>
      </c>
      <c r="S16" s="36">
        <f t="shared" si="2"/>
        <v>211.61212765968264</v>
      </c>
      <c r="T16" s="36">
        <f t="shared" si="2"/>
        <v>211.61212765968264</v>
      </c>
      <c r="U16" s="36">
        <f t="shared" si="2"/>
        <v>211.61212765968264</v>
      </c>
      <c r="V16" s="36">
        <f t="shared" si="2"/>
        <v>211.61212765968264</v>
      </c>
      <c r="W16" s="36">
        <f t="shared" si="2"/>
        <v>526.5608451596827</v>
      </c>
      <c r="X16" s="23"/>
      <c r="Y16" s="23"/>
      <c r="Z16" s="23"/>
      <c r="AA16" s="24">
        <f>SUM(B16:X16)</f>
        <v>2086.2964531936536</v>
      </c>
    </row>
    <row r="17" spans="1:27" ht="19.5" customHeight="1">
      <c r="A17" s="21" t="s">
        <v>135</v>
      </c>
      <c r="B17" s="26">
        <f>B16</f>
        <v>-1250</v>
      </c>
      <c r="C17" s="35">
        <f aca="true" t="shared" si="3" ref="C17:W17">B17+C16</f>
        <v>-2503.73</v>
      </c>
      <c r="D17" s="35">
        <f t="shared" si="3"/>
        <v>-2330.3725998403174</v>
      </c>
      <c r="E17" s="35">
        <f t="shared" si="3"/>
        <v>-2109.7504821806347</v>
      </c>
      <c r="F17" s="35">
        <f t="shared" si="3"/>
        <v>-1889.128364520952</v>
      </c>
      <c r="G17" s="35">
        <f t="shared" si="3"/>
        <v>-1668.5062468612691</v>
      </c>
      <c r="H17" s="35">
        <f t="shared" si="3"/>
        <v>-1447.8841292015863</v>
      </c>
      <c r="I17" s="35">
        <f t="shared" si="3"/>
        <v>-1227.2620115419036</v>
      </c>
      <c r="J17" s="35">
        <f t="shared" si="3"/>
        <v>-1006.6398938822209</v>
      </c>
      <c r="K17" s="35">
        <f t="shared" si="3"/>
        <v>-786.0177762225383</v>
      </c>
      <c r="L17" s="35">
        <f t="shared" si="3"/>
        <v>-565.3956585628556</v>
      </c>
      <c r="M17" s="35">
        <f t="shared" si="3"/>
        <v>-344.77354090317294</v>
      </c>
      <c r="N17" s="35">
        <f t="shared" si="3"/>
        <v>-133.1614132434903</v>
      </c>
      <c r="O17" s="35">
        <f t="shared" si="3"/>
        <v>78.45071441619234</v>
      </c>
      <c r="P17" s="35">
        <f t="shared" si="3"/>
        <v>290.062842075875</v>
      </c>
      <c r="Q17" s="35">
        <f t="shared" si="3"/>
        <v>501.6749697355576</v>
      </c>
      <c r="R17" s="35">
        <f t="shared" si="3"/>
        <v>713.2870973952403</v>
      </c>
      <c r="S17" s="35">
        <f t="shared" si="3"/>
        <v>924.8992250549229</v>
      </c>
      <c r="T17" s="35">
        <f t="shared" si="3"/>
        <v>1136.5113527146054</v>
      </c>
      <c r="U17" s="35">
        <f t="shared" si="3"/>
        <v>1348.1234803742882</v>
      </c>
      <c r="V17" s="35">
        <f t="shared" si="3"/>
        <v>1559.735608033971</v>
      </c>
      <c r="W17" s="35">
        <f t="shared" si="3"/>
        <v>2086.2964531936536</v>
      </c>
      <c r="X17" s="23"/>
      <c r="Y17" s="23"/>
      <c r="Z17" s="23"/>
      <c r="AA17" s="24"/>
    </row>
    <row r="18" spans="1:27" ht="19.5" customHeight="1">
      <c r="A18" s="21" t="s">
        <v>136</v>
      </c>
      <c r="B18" s="26">
        <f>B6-B10</f>
        <v>-1250</v>
      </c>
      <c r="C18" s="26">
        <f>C6-C10</f>
        <v>-1253.73</v>
      </c>
      <c r="D18" s="36">
        <f aca="true" t="shared" si="4" ref="D18:W18">D6-D10+D15</f>
        <v>219.16707249999996</v>
      </c>
      <c r="E18" s="36">
        <f t="shared" si="4"/>
        <v>266.43179</v>
      </c>
      <c r="F18" s="36">
        <f t="shared" si="4"/>
        <v>266.43179</v>
      </c>
      <c r="G18" s="36">
        <f t="shared" si="4"/>
        <v>266.43179</v>
      </c>
      <c r="H18" s="36">
        <f t="shared" si="4"/>
        <v>266.43179</v>
      </c>
      <c r="I18" s="36">
        <f t="shared" si="4"/>
        <v>266.43179</v>
      </c>
      <c r="J18" s="36">
        <f t="shared" si="4"/>
        <v>266.43179</v>
      </c>
      <c r="K18" s="36">
        <f t="shared" si="4"/>
        <v>266.43179</v>
      </c>
      <c r="L18" s="36">
        <f t="shared" si="4"/>
        <v>266.43179</v>
      </c>
      <c r="M18" s="36">
        <f t="shared" si="4"/>
        <v>266.43179</v>
      </c>
      <c r="N18" s="35">
        <f t="shared" si="4"/>
        <v>266.43179</v>
      </c>
      <c r="O18" s="35">
        <f t="shared" si="4"/>
        <v>266.43179</v>
      </c>
      <c r="P18" s="35">
        <f t="shared" si="4"/>
        <v>266.43179</v>
      </c>
      <c r="Q18" s="35">
        <f t="shared" si="4"/>
        <v>266.43179</v>
      </c>
      <c r="R18" s="35">
        <f t="shared" si="4"/>
        <v>266.43179</v>
      </c>
      <c r="S18" s="35">
        <f t="shared" si="4"/>
        <v>266.43179</v>
      </c>
      <c r="T18" s="35">
        <f t="shared" si="4"/>
        <v>266.43179</v>
      </c>
      <c r="U18" s="35">
        <f t="shared" si="4"/>
        <v>266.43179</v>
      </c>
      <c r="V18" s="35">
        <f t="shared" si="4"/>
        <v>266.43179</v>
      </c>
      <c r="W18" s="35">
        <f t="shared" si="4"/>
        <v>581.3805075</v>
      </c>
      <c r="X18" s="23"/>
      <c r="Y18" s="23"/>
      <c r="Z18" s="23"/>
      <c r="AA18" s="24">
        <f>SUM(B18:X18)</f>
        <v>3092.5898000000007</v>
      </c>
    </row>
    <row r="19" spans="1:27" ht="19.5" customHeight="1">
      <c r="A19" s="21" t="s">
        <v>137</v>
      </c>
      <c r="B19" s="26">
        <f>B18</f>
        <v>-1250</v>
      </c>
      <c r="C19" s="35">
        <f aca="true" t="shared" si="5" ref="C19:W19">B19+C18</f>
        <v>-2503.73</v>
      </c>
      <c r="D19" s="35">
        <f t="shared" si="5"/>
        <v>-2284.5629275</v>
      </c>
      <c r="E19" s="35">
        <f t="shared" si="5"/>
        <v>-2018.1311375</v>
      </c>
      <c r="F19" s="35">
        <f t="shared" si="5"/>
        <v>-1751.6993475</v>
      </c>
      <c r="G19" s="35">
        <f t="shared" si="5"/>
        <v>-1485.2675574999998</v>
      </c>
      <c r="H19" s="35">
        <f t="shared" si="5"/>
        <v>-1218.8357674999997</v>
      </c>
      <c r="I19" s="35">
        <f t="shared" si="5"/>
        <v>-952.4039774999998</v>
      </c>
      <c r="J19" s="35">
        <f t="shared" si="5"/>
        <v>-685.9721874999998</v>
      </c>
      <c r="K19" s="35">
        <f t="shared" si="5"/>
        <v>-419.5403974999998</v>
      </c>
      <c r="L19" s="35">
        <f t="shared" si="5"/>
        <v>-153.10860749999983</v>
      </c>
      <c r="M19" s="35">
        <f t="shared" si="5"/>
        <v>113.32318250000014</v>
      </c>
      <c r="N19" s="35">
        <f t="shared" si="5"/>
        <v>379.7549725000001</v>
      </c>
      <c r="O19" s="35">
        <f t="shared" si="5"/>
        <v>646.1867625000001</v>
      </c>
      <c r="P19" s="35">
        <f t="shared" si="5"/>
        <v>912.6185525000001</v>
      </c>
      <c r="Q19" s="35">
        <f t="shared" si="5"/>
        <v>1179.0503425000002</v>
      </c>
      <c r="R19" s="35">
        <f t="shared" si="5"/>
        <v>1445.4821325000003</v>
      </c>
      <c r="S19" s="35">
        <f t="shared" si="5"/>
        <v>1711.9139225000004</v>
      </c>
      <c r="T19" s="35">
        <f t="shared" si="5"/>
        <v>1978.3457125000004</v>
      </c>
      <c r="U19" s="35">
        <f t="shared" si="5"/>
        <v>2244.7775025000005</v>
      </c>
      <c r="V19" s="35">
        <f t="shared" si="5"/>
        <v>2511.2092925000006</v>
      </c>
      <c r="W19" s="35">
        <f t="shared" si="5"/>
        <v>3092.5898000000007</v>
      </c>
      <c r="X19" s="23"/>
      <c r="Y19" s="23"/>
      <c r="Z19" s="23"/>
      <c r="AA19" s="24"/>
    </row>
    <row r="20" spans="1:27" ht="19.5" customHeight="1">
      <c r="A20" s="21" t="s">
        <v>138</v>
      </c>
      <c r="B20" s="26">
        <f>B21</f>
        <v>-1201.923076923077</v>
      </c>
      <c r="C20" s="35">
        <f aca="true" t="shared" si="6" ref="C20:W20">C21-B21</f>
        <v>-1159.1438609467452</v>
      </c>
      <c r="D20" s="35">
        <f t="shared" si="6"/>
        <v>154.1140974906143</v>
      </c>
      <c r="E20" s="35">
        <f t="shared" si="6"/>
        <v>188.58871080935</v>
      </c>
      <c r="F20" s="35">
        <f t="shared" si="6"/>
        <v>181.3352988551444</v>
      </c>
      <c r="G20" s="35">
        <f t="shared" si="6"/>
        <v>174.36086428379235</v>
      </c>
      <c r="H20" s="35">
        <f t="shared" si="6"/>
        <v>167.6546771959545</v>
      </c>
      <c r="I20" s="35">
        <f t="shared" si="6"/>
        <v>161.20642038072515</v>
      </c>
      <c r="J20" s="35">
        <f t="shared" si="6"/>
        <v>155.00617344300508</v>
      </c>
      <c r="K20" s="35">
        <f t="shared" si="6"/>
        <v>149.04439754135115</v>
      </c>
      <c r="L20" s="35">
        <f t="shared" si="6"/>
        <v>143.3119207128375</v>
      </c>
      <c r="M20" s="35">
        <f t="shared" si="6"/>
        <v>137.79992376234384</v>
      </c>
      <c r="N20" s="35">
        <f t="shared" si="6"/>
        <v>127.0887601842287</v>
      </c>
      <c r="O20" s="35">
        <f t="shared" si="6"/>
        <v>122.20073094637371</v>
      </c>
      <c r="P20" s="35">
        <f t="shared" si="6"/>
        <v>117.50070283305172</v>
      </c>
      <c r="Q20" s="35">
        <f t="shared" si="6"/>
        <v>112.98144503178048</v>
      </c>
      <c r="R20" s="35">
        <f t="shared" si="6"/>
        <v>108.63600483825047</v>
      </c>
      <c r="S20" s="35">
        <f t="shared" si="6"/>
        <v>104.45769695985621</v>
      </c>
      <c r="T20" s="35">
        <f t="shared" si="6"/>
        <v>100.44009323063096</v>
      </c>
      <c r="U20" s="35">
        <f t="shared" si="6"/>
        <v>96.57701272176055</v>
      </c>
      <c r="V20" s="35">
        <f t="shared" si="6"/>
        <v>92.86251223246208</v>
      </c>
      <c r="W20" s="35">
        <f t="shared" si="6"/>
        <v>222.1851850144222</v>
      </c>
      <c r="X20" s="36"/>
      <c r="Y20" s="36"/>
      <c r="Z20" s="23"/>
      <c r="AA20" s="24">
        <f>SUM(B20:Z20)</f>
        <v>456.2856905981132</v>
      </c>
    </row>
    <row r="21" spans="1:27" ht="19.5" customHeight="1">
      <c r="A21" s="21" t="s">
        <v>139</v>
      </c>
      <c r="B21" s="26">
        <f>NPV(0.04,B16)</f>
        <v>-1201.923076923077</v>
      </c>
      <c r="C21" s="35">
        <f>NPV(0.04,$B$16:C16)</f>
        <v>-2361.066937869822</v>
      </c>
      <c r="D21" s="35">
        <f>NPV(0.04,$B$16:D16)</f>
        <v>-2206.952840379208</v>
      </c>
      <c r="E21" s="35">
        <f>NPV(0.04,$B$16:E16)</f>
        <v>-2018.3641295698578</v>
      </c>
      <c r="F21" s="35">
        <f>NPV(0.04,$B$16:F16)</f>
        <v>-1837.0288307147134</v>
      </c>
      <c r="G21" s="35">
        <f>NPV(0.04,$B$16:G16)</f>
        <v>-1662.667966430921</v>
      </c>
      <c r="H21" s="35">
        <f>NPV(0.04,$B$16:H16)</f>
        <v>-1495.0132892349666</v>
      </c>
      <c r="I21" s="35">
        <f>NPV(0.04,$B$16:I16)</f>
        <v>-1333.8068688542414</v>
      </c>
      <c r="J21" s="35">
        <f>NPV(0.04,$B$16:J16)</f>
        <v>-1178.8006954112363</v>
      </c>
      <c r="K21" s="35">
        <f>NPV(0.04,$B$16:K16)</f>
        <v>-1029.7562978698852</v>
      </c>
      <c r="L21" s="35">
        <f>NPV(0.04,$B$16:L16)</f>
        <v>-886.4443771570477</v>
      </c>
      <c r="M21" s="35">
        <f>NPV(0.04,$B$16:M16)</f>
        <v>-748.6444533947039</v>
      </c>
      <c r="N21" s="35">
        <f>NPV(0.04,$B$16:N16)</f>
        <v>-621.5556932104752</v>
      </c>
      <c r="O21" s="35">
        <f>NPV(0.04,$B$16:O16)</f>
        <v>-499.35496226410146</v>
      </c>
      <c r="P21" s="35">
        <f>NPV(0.04,$B$16:P16)</f>
        <v>-381.85425943104974</v>
      </c>
      <c r="Q21" s="35">
        <f>NPV(0.04,$B$16:Q16)</f>
        <v>-268.87281439926926</v>
      </c>
      <c r="R21" s="35">
        <f>NPV(0.04,$B$16:R16)</f>
        <v>-160.2368095610188</v>
      </c>
      <c r="S21" s="35">
        <f>NPV(0.04,$B$16:S16)</f>
        <v>-55.77911260116258</v>
      </c>
      <c r="T21" s="35">
        <f>NPV(0.04,$B$16:T16)</f>
        <v>44.66098062946838</v>
      </c>
      <c r="U21" s="35">
        <f>NPV(0.04,$B$16:U16)</f>
        <v>141.23799335122894</v>
      </c>
      <c r="V21" s="35">
        <f>NPV(0.04,$B$16:V16)</f>
        <v>234.10050558369102</v>
      </c>
      <c r="W21" s="35">
        <f>NPV(0.04,$B$16:W16)</f>
        <v>456.2856905981132</v>
      </c>
      <c r="X21" s="36"/>
      <c r="Y21" s="36"/>
      <c r="Z21" s="23"/>
      <c r="AA21" s="24"/>
    </row>
    <row r="22" spans="1:27" ht="19.5" customHeight="1">
      <c r="A22" s="21" t="s">
        <v>140</v>
      </c>
      <c r="B22" s="26">
        <f>B23</f>
        <v>-1201.923076923077</v>
      </c>
      <c r="C22" s="35">
        <f aca="true" t="shared" si="7" ref="C22:W22">C23-B23</f>
        <v>-1159.1438609467452</v>
      </c>
      <c r="D22" s="35">
        <f t="shared" si="7"/>
        <v>194.83872939306457</v>
      </c>
      <c r="E22" s="35">
        <f t="shared" si="7"/>
        <v>227.7470107155516</v>
      </c>
      <c r="F22" s="35">
        <f t="shared" si="7"/>
        <v>218.98751030341532</v>
      </c>
      <c r="G22" s="35">
        <f t="shared" si="7"/>
        <v>210.5649137532837</v>
      </c>
      <c r="H22" s="35">
        <f t="shared" si="7"/>
        <v>202.4662632243112</v>
      </c>
      <c r="I22" s="35">
        <f t="shared" si="7"/>
        <v>194.6790992541455</v>
      </c>
      <c r="J22" s="35">
        <f t="shared" si="7"/>
        <v>187.1914415905244</v>
      </c>
      <c r="K22" s="35">
        <f t="shared" si="7"/>
        <v>179.99177076011972</v>
      </c>
      <c r="L22" s="35">
        <f t="shared" si="7"/>
        <v>173.069010346269</v>
      </c>
      <c r="M22" s="35">
        <f t="shared" si="7"/>
        <v>166.4125099483354</v>
      </c>
      <c r="N22" s="35">
        <f t="shared" si="7"/>
        <v>160.01202879647647</v>
      </c>
      <c r="O22" s="35">
        <f t="shared" si="7"/>
        <v>153.85771999661193</v>
      </c>
      <c r="P22" s="35">
        <f t="shared" si="7"/>
        <v>147.94011538135766</v>
      </c>
      <c r="Q22" s="35">
        <f t="shared" si="7"/>
        <v>142.25011094361312</v>
      </c>
      <c r="R22" s="35">
        <f t="shared" si="7"/>
        <v>136.77895283039723</v>
      </c>
      <c r="S22" s="35">
        <f t="shared" si="7"/>
        <v>131.51822387538198</v>
      </c>
      <c r="T22" s="35">
        <f t="shared" si="7"/>
        <v>126.45983064940572</v>
      </c>
      <c r="U22" s="35">
        <f t="shared" si="7"/>
        <v>121.59599100904404</v>
      </c>
      <c r="V22" s="35">
        <f t="shared" si="7"/>
        <v>116.91922212408065</v>
      </c>
      <c r="W22" s="35">
        <f t="shared" si="7"/>
        <v>245.31663683328622</v>
      </c>
      <c r="X22" s="36"/>
      <c r="Y22" s="36"/>
      <c r="Z22" s="23"/>
      <c r="AA22" s="24">
        <f>SUM(B22:Z22)</f>
        <v>1077.5301538588533</v>
      </c>
    </row>
    <row r="23" spans="1:27" ht="19.5" customHeight="1">
      <c r="A23" s="21" t="s">
        <v>141</v>
      </c>
      <c r="B23" s="26">
        <f>NPV(0.04,B18)</f>
        <v>-1201.923076923077</v>
      </c>
      <c r="C23" s="35">
        <f>NPV(0.04,$B$18:C18)</f>
        <v>-2361.066937869822</v>
      </c>
      <c r="D23" s="35">
        <f>NPV(0.04,$B$18:D18)</f>
        <v>-2166.2282084767576</v>
      </c>
      <c r="E23" s="35">
        <f>NPV(0.04,$B$18:E18)</f>
        <v>-1938.481197761206</v>
      </c>
      <c r="F23" s="35">
        <f>NPV(0.04,$B$18:F18)</f>
        <v>-1719.4936874577907</v>
      </c>
      <c r="G23" s="35">
        <f>NPV(0.04,$B$18:G18)</f>
        <v>-1508.928773704507</v>
      </c>
      <c r="H23" s="35">
        <f>NPV(0.04,$B$18:H18)</f>
        <v>-1306.4625104801958</v>
      </c>
      <c r="I23" s="35">
        <f>NPV(0.04,$B$18:I18)</f>
        <v>-1111.7834112260502</v>
      </c>
      <c r="J23" s="35">
        <f>NPV(0.04,$B$18:J18)</f>
        <v>-924.5919696355259</v>
      </c>
      <c r="K23" s="54">
        <f>NPV(0.04,$B$18:K18)</f>
        <v>-744.6001988754061</v>
      </c>
      <c r="L23" s="54">
        <f>NPV(0.04,$B$18:L18)</f>
        <v>-571.5311885291371</v>
      </c>
      <c r="M23" s="35">
        <f>NPV(0.04,$B$18:M18)</f>
        <v>-405.1186785808017</v>
      </c>
      <c r="N23" s="35">
        <f>NPV(0.04,$B$18:N18)</f>
        <v>-245.10664978432524</v>
      </c>
      <c r="O23" s="35">
        <f>NPV(0.04,$B$18:O18)</f>
        <v>-91.24892978771332</v>
      </c>
      <c r="P23" s="35">
        <f>NPV(0.04,$B$18:P18)</f>
        <v>56.69118559364433</v>
      </c>
      <c r="Q23" s="35">
        <f>NPV(0.04,$B$18:Q18)</f>
        <v>198.94129653725744</v>
      </c>
      <c r="R23" s="35">
        <f>NPV(0.04,$B$18:R18)</f>
        <v>335.7202493676547</v>
      </c>
      <c r="S23" s="35">
        <f>NPV(0.04,$B$18:S18)</f>
        <v>467.23847324303665</v>
      </c>
      <c r="T23" s="35">
        <f>NPV(0.04,$B$18:T18)</f>
        <v>593.6983038924424</v>
      </c>
      <c r="U23" s="35">
        <f>NPV(0.04,$B$18:U18)</f>
        <v>715.2942949014864</v>
      </c>
      <c r="V23" s="35">
        <f>NPV(0.04,$B$18:V18)</f>
        <v>832.2135170255671</v>
      </c>
      <c r="W23" s="35">
        <f>NPV(0.04,$B$18:W18)</f>
        <v>1077.5301538588533</v>
      </c>
      <c r="X23" s="22"/>
      <c r="Y23" s="22"/>
      <c r="Z23" s="22"/>
      <c r="AA23" s="22"/>
    </row>
    <row r="25" spans="4:15" ht="14.25" hidden="1">
      <c r="D25" s="55" t="s">
        <v>142</v>
      </c>
      <c r="E25" s="56">
        <f>IRR(B16:W16)</f>
        <v>0.058641039360631766</v>
      </c>
      <c r="F25" s="57">
        <f>NPV(0.04,B16:W16)</f>
        <v>456.2856905981132</v>
      </c>
      <c r="G25" s="57">
        <f>NPV(0.06,B16:W16)</f>
        <v>-28.148908336558197</v>
      </c>
      <c r="H25">
        <v>13.63</v>
      </c>
      <c r="I25" s="55">
        <v>7.87</v>
      </c>
      <c r="J25" s="55" t="s">
        <v>143</v>
      </c>
      <c r="K25" s="56">
        <f>IRR(B18:W18)</f>
        <v>0.08165498903658087</v>
      </c>
      <c r="L25" s="57">
        <f>NPV(0.04,B18:W18)</f>
        <v>1077.5301538588533</v>
      </c>
      <c r="M25" s="57">
        <f>NPV(0.06,B18:W18)</f>
        <v>472.4410681136129</v>
      </c>
      <c r="N25">
        <v>11.57</v>
      </c>
      <c r="O25" s="55">
        <v>6.19</v>
      </c>
    </row>
    <row r="26" spans="2:15" ht="14.25" hidden="1">
      <c r="B26" s="56"/>
      <c r="C26" s="57"/>
      <c r="E26" s="56"/>
      <c r="F26" s="57"/>
      <c r="G26" s="57"/>
      <c r="H26">
        <f>COUNTIF(B17:W17,"&lt;0")</f>
        <v>13</v>
      </c>
      <c r="I26">
        <f>COUNTIF(B21:W21,"&lt;0")</f>
        <v>18</v>
      </c>
      <c r="N26">
        <f>COUNTIF(B19:W19,"&lt;0")</f>
        <v>11</v>
      </c>
      <c r="O26">
        <f>COUNTIF(B23:W23,"&lt;0")</f>
        <v>14</v>
      </c>
    </row>
    <row r="27" spans="1:7" ht="14.25" hidden="1">
      <c r="A27" t="s">
        <v>144</v>
      </c>
      <c r="D27" s="56">
        <f>IRR(B30:W30)</f>
        <v>0.10554705525470792</v>
      </c>
      <c r="E27">
        <f>G27*1.04</f>
        <v>9.36</v>
      </c>
      <c r="F27" s="58" t="s">
        <v>93</v>
      </c>
      <c r="G27">
        <f>COUNTIF(B31:W31,"&lt;0")</f>
        <v>9</v>
      </c>
    </row>
    <row r="28" spans="1:26" ht="19.5" customHeight="1" hidden="1">
      <c r="A28" s="22" t="s">
        <v>131</v>
      </c>
      <c r="B28" s="22"/>
      <c r="C28" s="22"/>
      <c r="D28" s="22">
        <f aca="true" t="shared" si="8" ref="D28:W28">D6*1.2</f>
        <v>613.1999999999999</v>
      </c>
      <c r="E28" s="22">
        <f t="shared" si="8"/>
        <v>613.1999999999999</v>
      </c>
      <c r="F28" s="22">
        <f t="shared" si="8"/>
        <v>613.1999999999999</v>
      </c>
      <c r="G28" s="22">
        <f t="shared" si="8"/>
        <v>613.1999999999999</v>
      </c>
      <c r="H28" s="22">
        <f t="shared" si="8"/>
        <v>613.1999999999999</v>
      </c>
      <c r="I28" s="22">
        <f t="shared" si="8"/>
        <v>613.1999999999999</v>
      </c>
      <c r="J28" s="22">
        <f t="shared" si="8"/>
        <v>613.1999999999999</v>
      </c>
      <c r="K28" s="22">
        <f t="shared" si="8"/>
        <v>613.1999999999999</v>
      </c>
      <c r="L28" s="22">
        <f t="shared" si="8"/>
        <v>613.1999999999999</v>
      </c>
      <c r="M28" s="22">
        <f t="shared" si="8"/>
        <v>613.1999999999999</v>
      </c>
      <c r="N28" s="22">
        <f t="shared" si="8"/>
        <v>613.1999999999999</v>
      </c>
      <c r="O28" s="22">
        <f t="shared" si="8"/>
        <v>613.1999999999999</v>
      </c>
      <c r="P28" s="22">
        <f t="shared" si="8"/>
        <v>613.1999999999999</v>
      </c>
      <c r="Q28" s="22">
        <f t="shared" si="8"/>
        <v>613.1999999999999</v>
      </c>
      <c r="R28" s="22">
        <f t="shared" si="8"/>
        <v>613.1999999999999</v>
      </c>
      <c r="S28" s="22">
        <f t="shared" si="8"/>
        <v>613.1999999999999</v>
      </c>
      <c r="T28" s="22">
        <f t="shared" si="8"/>
        <v>613.1999999999999</v>
      </c>
      <c r="U28" s="22">
        <f t="shared" si="8"/>
        <v>613.1999999999999</v>
      </c>
      <c r="V28" s="22">
        <f t="shared" si="8"/>
        <v>613.1999999999999</v>
      </c>
      <c r="W28" s="22">
        <f t="shared" si="8"/>
        <v>991.1384609999999</v>
      </c>
      <c r="X28" s="22"/>
      <c r="Y28" s="22"/>
      <c r="Z28" s="22"/>
    </row>
    <row r="29" spans="1:26" ht="19.5" customHeight="1" hidden="1">
      <c r="A29" s="22" t="s">
        <v>133</v>
      </c>
      <c r="B29" s="59">
        <f aca="true" t="shared" si="9" ref="B29:W29">B10</f>
        <v>1250</v>
      </c>
      <c r="C29" s="59">
        <f t="shared" si="9"/>
        <v>1253.73</v>
      </c>
      <c r="D29" s="59">
        <f t="shared" si="9"/>
        <v>337.6425998403173</v>
      </c>
      <c r="E29" s="59">
        <f t="shared" si="9"/>
        <v>290.3778823403173</v>
      </c>
      <c r="F29" s="59">
        <f t="shared" si="9"/>
        <v>290.3778823403173</v>
      </c>
      <c r="G29" s="59">
        <f t="shared" si="9"/>
        <v>290.3778823403173</v>
      </c>
      <c r="H29" s="59">
        <f t="shared" si="9"/>
        <v>290.3778823403173</v>
      </c>
      <c r="I29" s="59">
        <f t="shared" si="9"/>
        <v>290.3778823403173</v>
      </c>
      <c r="J29" s="59">
        <f t="shared" si="9"/>
        <v>290.3778823403173</v>
      </c>
      <c r="K29" s="59">
        <f t="shared" si="9"/>
        <v>290.3778823403173</v>
      </c>
      <c r="L29" s="59">
        <f t="shared" si="9"/>
        <v>290.3778823403173</v>
      </c>
      <c r="M29" s="59">
        <f t="shared" si="9"/>
        <v>290.3778823403173</v>
      </c>
      <c r="N29" s="59">
        <f t="shared" si="9"/>
        <v>299.3878723403173</v>
      </c>
      <c r="O29" s="59">
        <f t="shared" si="9"/>
        <v>299.3878723403173</v>
      </c>
      <c r="P29" s="59">
        <f t="shared" si="9"/>
        <v>299.3878723403173</v>
      </c>
      <c r="Q29" s="59">
        <f t="shared" si="9"/>
        <v>299.3878723403173</v>
      </c>
      <c r="R29" s="59">
        <f t="shared" si="9"/>
        <v>299.3878723403173</v>
      </c>
      <c r="S29" s="59">
        <f t="shared" si="9"/>
        <v>299.3878723403173</v>
      </c>
      <c r="T29" s="59">
        <f t="shared" si="9"/>
        <v>299.3878723403173</v>
      </c>
      <c r="U29" s="59">
        <f t="shared" si="9"/>
        <v>299.3878723403173</v>
      </c>
      <c r="V29" s="59">
        <f t="shared" si="9"/>
        <v>299.3878723403173</v>
      </c>
      <c r="W29" s="59">
        <f t="shared" si="9"/>
        <v>299.3878723403173</v>
      </c>
      <c r="X29" s="22"/>
      <c r="Y29" s="22"/>
      <c r="Z29" s="22"/>
    </row>
    <row r="30" spans="1:26" ht="19.5" customHeight="1" hidden="1">
      <c r="A30" s="22" t="s">
        <v>134</v>
      </c>
      <c r="B30" s="60">
        <f aca="true" t="shared" si="10" ref="B30:W30">B28-B29</f>
        <v>-1250</v>
      </c>
      <c r="C30" s="60">
        <f t="shared" si="10"/>
        <v>-1253.73</v>
      </c>
      <c r="D30" s="60">
        <f t="shared" si="10"/>
        <v>275.55740015968263</v>
      </c>
      <c r="E30" s="60">
        <f t="shared" si="10"/>
        <v>322.82211765968265</v>
      </c>
      <c r="F30" s="60">
        <f t="shared" si="10"/>
        <v>322.82211765968265</v>
      </c>
      <c r="G30" s="60">
        <f t="shared" si="10"/>
        <v>322.82211765968265</v>
      </c>
      <c r="H30" s="60">
        <f t="shared" si="10"/>
        <v>322.82211765968265</v>
      </c>
      <c r="I30" s="60">
        <f t="shared" si="10"/>
        <v>322.82211765968265</v>
      </c>
      <c r="J30" s="60">
        <f t="shared" si="10"/>
        <v>322.82211765968265</v>
      </c>
      <c r="K30" s="60">
        <f t="shared" si="10"/>
        <v>322.82211765968265</v>
      </c>
      <c r="L30" s="60">
        <f t="shared" si="10"/>
        <v>322.82211765968265</v>
      </c>
      <c r="M30" s="60">
        <f t="shared" si="10"/>
        <v>322.82211765968265</v>
      </c>
      <c r="N30" s="60">
        <f t="shared" si="10"/>
        <v>313.81212765968263</v>
      </c>
      <c r="O30" s="60">
        <f t="shared" si="10"/>
        <v>313.81212765968263</v>
      </c>
      <c r="P30" s="60">
        <f t="shared" si="10"/>
        <v>313.81212765968263</v>
      </c>
      <c r="Q30" s="60">
        <f t="shared" si="10"/>
        <v>313.81212765968263</v>
      </c>
      <c r="R30" s="60">
        <f t="shared" si="10"/>
        <v>313.81212765968263</v>
      </c>
      <c r="S30" s="60">
        <f t="shared" si="10"/>
        <v>313.81212765968263</v>
      </c>
      <c r="T30" s="60">
        <f t="shared" si="10"/>
        <v>313.81212765968263</v>
      </c>
      <c r="U30" s="60">
        <f t="shared" si="10"/>
        <v>313.81212765968263</v>
      </c>
      <c r="V30" s="60">
        <f t="shared" si="10"/>
        <v>313.81212765968263</v>
      </c>
      <c r="W30" s="60">
        <f t="shared" si="10"/>
        <v>691.7505886596825</v>
      </c>
      <c r="X30" s="22"/>
      <c r="Y30" s="22"/>
      <c r="Z30" s="22"/>
    </row>
    <row r="31" spans="1:26" ht="19.5" customHeight="1" hidden="1">
      <c r="A31" s="22" t="s">
        <v>135</v>
      </c>
      <c r="B31" s="60">
        <f>B30</f>
        <v>-1250</v>
      </c>
      <c r="C31" s="61">
        <f aca="true" t="shared" si="11" ref="C31:W31">B31+C30</f>
        <v>-2503.73</v>
      </c>
      <c r="D31" s="61">
        <f t="shared" si="11"/>
        <v>-2228.172599840317</v>
      </c>
      <c r="E31" s="61">
        <f t="shared" si="11"/>
        <v>-1905.3504821806346</v>
      </c>
      <c r="F31" s="61">
        <f t="shared" si="11"/>
        <v>-1582.528364520952</v>
      </c>
      <c r="G31" s="61">
        <f t="shared" si="11"/>
        <v>-1259.7062468612694</v>
      </c>
      <c r="H31" s="61">
        <f t="shared" si="11"/>
        <v>-936.8841292015868</v>
      </c>
      <c r="I31" s="61">
        <f t="shared" si="11"/>
        <v>-614.0620115419042</v>
      </c>
      <c r="J31" s="61">
        <f t="shared" si="11"/>
        <v>-291.23989388222157</v>
      </c>
      <c r="K31" s="61">
        <f t="shared" si="11"/>
        <v>31.58222377746108</v>
      </c>
      <c r="L31" s="61">
        <f t="shared" si="11"/>
        <v>354.4043414371437</v>
      </c>
      <c r="M31" s="61">
        <f t="shared" si="11"/>
        <v>677.2264590968264</v>
      </c>
      <c r="N31" s="61">
        <f t="shared" si="11"/>
        <v>991.038586756509</v>
      </c>
      <c r="O31" s="61">
        <f t="shared" si="11"/>
        <v>1304.8507144161915</v>
      </c>
      <c r="P31" s="61">
        <f t="shared" si="11"/>
        <v>1618.662842075874</v>
      </c>
      <c r="Q31" s="61">
        <f t="shared" si="11"/>
        <v>1932.4749697355567</v>
      </c>
      <c r="R31" s="61">
        <f t="shared" si="11"/>
        <v>2246.2870973952395</v>
      </c>
      <c r="S31" s="61">
        <f t="shared" si="11"/>
        <v>2560.099225054922</v>
      </c>
      <c r="T31" s="61">
        <f t="shared" si="11"/>
        <v>2873.9113527146046</v>
      </c>
      <c r="U31" s="61">
        <f t="shared" si="11"/>
        <v>3187.723480374287</v>
      </c>
      <c r="V31" s="61">
        <f t="shared" si="11"/>
        <v>3501.5356080339698</v>
      </c>
      <c r="W31" s="61">
        <f t="shared" si="11"/>
        <v>4193.2861966936525</v>
      </c>
      <c r="X31" s="22"/>
      <c r="Y31" s="22"/>
      <c r="Z31" s="22"/>
    </row>
    <row r="32" spans="2:23" ht="19.5" customHeight="1" hidden="1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7" ht="14.25" hidden="1">
      <c r="A33" t="s">
        <v>145</v>
      </c>
      <c r="D33" s="56">
        <f>IRR(B36:W36)</f>
        <v>-0.0006927923788867014</v>
      </c>
      <c r="E33">
        <f>G33*1.06</f>
        <v>23.32</v>
      </c>
      <c r="F33" s="58" t="s">
        <v>93</v>
      </c>
      <c r="G33">
        <f>COUNTIF(B37:W37,"&lt;0")</f>
        <v>22</v>
      </c>
    </row>
    <row r="34" spans="1:26" ht="19.5" customHeight="1" hidden="1">
      <c r="A34" s="22" t="s">
        <v>131</v>
      </c>
      <c r="B34" s="22"/>
      <c r="C34" s="22"/>
      <c r="D34" s="59">
        <f aca="true" t="shared" si="12" ref="D34:W34">D6*0.8</f>
        <v>408.79999999999995</v>
      </c>
      <c r="E34" s="59">
        <f t="shared" si="12"/>
        <v>408.79999999999995</v>
      </c>
      <c r="F34" s="59">
        <f t="shared" si="12"/>
        <v>408.79999999999995</v>
      </c>
      <c r="G34" s="59">
        <f t="shared" si="12"/>
        <v>408.79999999999995</v>
      </c>
      <c r="H34" s="59">
        <f t="shared" si="12"/>
        <v>408.79999999999995</v>
      </c>
      <c r="I34" s="59">
        <f t="shared" si="12"/>
        <v>408.79999999999995</v>
      </c>
      <c r="J34" s="59">
        <f t="shared" si="12"/>
        <v>408.79999999999995</v>
      </c>
      <c r="K34" s="59">
        <f t="shared" si="12"/>
        <v>408.79999999999995</v>
      </c>
      <c r="L34" s="59">
        <f t="shared" si="12"/>
        <v>408.79999999999995</v>
      </c>
      <c r="M34" s="59">
        <f t="shared" si="12"/>
        <v>408.79999999999995</v>
      </c>
      <c r="N34" s="59">
        <f t="shared" si="12"/>
        <v>408.79999999999995</v>
      </c>
      <c r="O34" s="59">
        <f t="shared" si="12"/>
        <v>408.79999999999995</v>
      </c>
      <c r="P34" s="59">
        <f t="shared" si="12"/>
        <v>408.79999999999995</v>
      </c>
      <c r="Q34" s="59">
        <f t="shared" si="12"/>
        <v>408.79999999999995</v>
      </c>
      <c r="R34" s="59">
        <f t="shared" si="12"/>
        <v>408.79999999999995</v>
      </c>
      <c r="S34" s="59">
        <f t="shared" si="12"/>
        <v>408.79999999999995</v>
      </c>
      <c r="T34" s="59">
        <f t="shared" si="12"/>
        <v>408.79999999999995</v>
      </c>
      <c r="U34" s="59">
        <f t="shared" si="12"/>
        <v>408.79999999999995</v>
      </c>
      <c r="V34" s="59">
        <f t="shared" si="12"/>
        <v>408.79999999999995</v>
      </c>
      <c r="W34" s="59">
        <f t="shared" si="12"/>
        <v>660.758974</v>
      </c>
      <c r="X34" s="22"/>
      <c r="Y34" s="22"/>
      <c r="Z34" s="22"/>
    </row>
    <row r="35" spans="1:26" ht="19.5" customHeight="1" hidden="1">
      <c r="A35" s="22" t="s">
        <v>133</v>
      </c>
      <c r="B35" s="59">
        <f aca="true" t="shared" si="13" ref="B35:W35">B10</f>
        <v>1250</v>
      </c>
      <c r="C35" s="59">
        <f t="shared" si="13"/>
        <v>1253.73</v>
      </c>
      <c r="D35" s="22">
        <f t="shared" si="13"/>
        <v>337.6425998403173</v>
      </c>
      <c r="E35" s="22">
        <f t="shared" si="13"/>
        <v>290.3778823403173</v>
      </c>
      <c r="F35" s="22">
        <f t="shared" si="13"/>
        <v>290.3778823403173</v>
      </c>
      <c r="G35" s="22">
        <f t="shared" si="13"/>
        <v>290.3778823403173</v>
      </c>
      <c r="H35" s="22">
        <f t="shared" si="13"/>
        <v>290.3778823403173</v>
      </c>
      <c r="I35" s="22">
        <f t="shared" si="13"/>
        <v>290.3778823403173</v>
      </c>
      <c r="J35" s="22">
        <f t="shared" si="13"/>
        <v>290.3778823403173</v>
      </c>
      <c r="K35" s="22">
        <f t="shared" si="13"/>
        <v>290.3778823403173</v>
      </c>
      <c r="L35" s="22">
        <f t="shared" si="13"/>
        <v>290.3778823403173</v>
      </c>
      <c r="M35" s="22">
        <f t="shared" si="13"/>
        <v>290.3778823403173</v>
      </c>
      <c r="N35" s="22">
        <f t="shared" si="13"/>
        <v>299.3878723403173</v>
      </c>
      <c r="O35" s="22">
        <f t="shared" si="13"/>
        <v>299.3878723403173</v>
      </c>
      <c r="P35" s="22">
        <f t="shared" si="13"/>
        <v>299.3878723403173</v>
      </c>
      <c r="Q35" s="22">
        <f t="shared" si="13"/>
        <v>299.3878723403173</v>
      </c>
      <c r="R35" s="22">
        <f t="shared" si="13"/>
        <v>299.3878723403173</v>
      </c>
      <c r="S35" s="22">
        <f t="shared" si="13"/>
        <v>299.3878723403173</v>
      </c>
      <c r="T35" s="22">
        <f t="shared" si="13"/>
        <v>299.3878723403173</v>
      </c>
      <c r="U35" s="22">
        <f t="shared" si="13"/>
        <v>299.3878723403173</v>
      </c>
      <c r="V35" s="22">
        <f t="shared" si="13"/>
        <v>299.3878723403173</v>
      </c>
      <c r="W35" s="22">
        <f t="shared" si="13"/>
        <v>299.3878723403173</v>
      </c>
      <c r="X35" s="22"/>
      <c r="Y35" s="22"/>
      <c r="Z35" s="22"/>
    </row>
    <row r="36" spans="1:26" ht="19.5" customHeight="1" hidden="1">
      <c r="A36" s="22" t="s">
        <v>134</v>
      </c>
      <c r="B36" s="60">
        <f aca="true" t="shared" si="14" ref="B36:W36">B34-B35</f>
        <v>-1250</v>
      </c>
      <c r="C36" s="60">
        <f t="shared" si="14"/>
        <v>-1253.73</v>
      </c>
      <c r="D36" s="60">
        <f t="shared" si="14"/>
        <v>71.15740015968265</v>
      </c>
      <c r="E36" s="60">
        <f t="shared" si="14"/>
        <v>118.42211765968267</v>
      </c>
      <c r="F36" s="60">
        <f t="shared" si="14"/>
        <v>118.42211765968267</v>
      </c>
      <c r="G36" s="60">
        <f t="shared" si="14"/>
        <v>118.42211765968267</v>
      </c>
      <c r="H36" s="60">
        <f t="shared" si="14"/>
        <v>118.42211765968267</v>
      </c>
      <c r="I36" s="60">
        <f t="shared" si="14"/>
        <v>118.42211765968267</v>
      </c>
      <c r="J36" s="60">
        <f t="shared" si="14"/>
        <v>118.42211765968267</v>
      </c>
      <c r="K36" s="60">
        <f t="shared" si="14"/>
        <v>118.42211765968267</v>
      </c>
      <c r="L36" s="60">
        <f t="shared" si="14"/>
        <v>118.42211765968267</v>
      </c>
      <c r="M36" s="60">
        <f t="shared" si="14"/>
        <v>118.42211765968267</v>
      </c>
      <c r="N36" s="60">
        <f t="shared" si="14"/>
        <v>109.41212765968265</v>
      </c>
      <c r="O36" s="60">
        <f t="shared" si="14"/>
        <v>109.41212765968265</v>
      </c>
      <c r="P36" s="60">
        <f t="shared" si="14"/>
        <v>109.41212765968265</v>
      </c>
      <c r="Q36" s="60">
        <f t="shared" si="14"/>
        <v>109.41212765968265</v>
      </c>
      <c r="R36" s="60">
        <f t="shared" si="14"/>
        <v>109.41212765968265</v>
      </c>
      <c r="S36" s="60">
        <f t="shared" si="14"/>
        <v>109.41212765968265</v>
      </c>
      <c r="T36" s="60">
        <f t="shared" si="14"/>
        <v>109.41212765968265</v>
      </c>
      <c r="U36" s="60">
        <f t="shared" si="14"/>
        <v>109.41212765968265</v>
      </c>
      <c r="V36" s="60">
        <f t="shared" si="14"/>
        <v>109.41212765968265</v>
      </c>
      <c r="W36" s="60">
        <f t="shared" si="14"/>
        <v>361.37110165968267</v>
      </c>
      <c r="X36" s="22"/>
      <c r="Y36" s="22"/>
      <c r="Z36" s="22"/>
    </row>
    <row r="37" spans="1:26" ht="19.5" customHeight="1" hidden="1">
      <c r="A37" s="22" t="s">
        <v>135</v>
      </c>
      <c r="B37" s="60">
        <f>B36</f>
        <v>-1250</v>
      </c>
      <c r="C37" s="61">
        <f aca="true" t="shared" si="15" ref="C37:W37">B37+C36</f>
        <v>-2503.73</v>
      </c>
      <c r="D37" s="61">
        <f t="shared" si="15"/>
        <v>-2432.5725998403173</v>
      </c>
      <c r="E37" s="61">
        <f t="shared" si="15"/>
        <v>-2314.1504821806348</v>
      </c>
      <c r="F37" s="61">
        <f t="shared" si="15"/>
        <v>-2195.7283645209523</v>
      </c>
      <c r="G37" s="61">
        <f t="shared" si="15"/>
        <v>-2077.3062468612698</v>
      </c>
      <c r="H37" s="61">
        <f t="shared" si="15"/>
        <v>-1958.884129201587</v>
      </c>
      <c r="I37" s="61">
        <f t="shared" si="15"/>
        <v>-1840.4620115419043</v>
      </c>
      <c r="J37" s="61">
        <f t="shared" si="15"/>
        <v>-1722.0398938822216</v>
      </c>
      <c r="K37" s="61">
        <f t="shared" si="15"/>
        <v>-1603.6177762225389</v>
      </c>
      <c r="L37" s="61">
        <f t="shared" si="15"/>
        <v>-1485.1956585628561</v>
      </c>
      <c r="M37" s="61">
        <f t="shared" si="15"/>
        <v>-1366.7735409031734</v>
      </c>
      <c r="N37" s="61">
        <f t="shared" si="15"/>
        <v>-1257.3614132434907</v>
      </c>
      <c r="O37" s="61">
        <f t="shared" si="15"/>
        <v>-1147.949285583808</v>
      </c>
      <c r="P37" s="61">
        <f t="shared" si="15"/>
        <v>-1038.5371579241253</v>
      </c>
      <c r="Q37" s="61">
        <f t="shared" si="15"/>
        <v>-929.1250302644426</v>
      </c>
      <c r="R37" s="61">
        <f t="shared" si="15"/>
        <v>-819.7129026047598</v>
      </c>
      <c r="S37" s="61">
        <f t="shared" si="15"/>
        <v>-710.3007749450771</v>
      </c>
      <c r="T37" s="61">
        <f t="shared" si="15"/>
        <v>-600.8886472853944</v>
      </c>
      <c r="U37" s="61">
        <f t="shared" si="15"/>
        <v>-491.4765196257118</v>
      </c>
      <c r="V37" s="61">
        <f t="shared" si="15"/>
        <v>-382.0643919660291</v>
      </c>
      <c r="W37" s="61">
        <f t="shared" si="15"/>
        <v>-20.693290306346455</v>
      </c>
      <c r="X37" s="22"/>
      <c r="Y37" s="22"/>
      <c r="Z37" s="22"/>
    </row>
    <row r="38" spans="2:23" ht="19.5" customHeight="1" hidden="1"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7" ht="14.25" hidden="1">
      <c r="A39" t="s">
        <v>146</v>
      </c>
      <c r="D39" s="56">
        <f>IRR(B42:W42)</f>
        <v>0.039428855019796</v>
      </c>
      <c r="E39">
        <f>G39*1.02</f>
        <v>15.3</v>
      </c>
      <c r="F39" s="58" t="s">
        <v>93</v>
      </c>
      <c r="G39">
        <f>COUNTIF(B43:W43,"&lt;0")</f>
        <v>15</v>
      </c>
    </row>
    <row r="40" spans="1:26" ht="19.5" customHeight="1" hidden="1">
      <c r="A40" s="22" t="s">
        <v>131</v>
      </c>
      <c r="B40" s="22"/>
      <c r="C40" s="22"/>
      <c r="D40" s="59">
        <f aca="true" t="shared" si="16" ref="D40:W40">D6</f>
        <v>510.99999999999994</v>
      </c>
      <c r="E40" s="59">
        <f t="shared" si="16"/>
        <v>510.99999999999994</v>
      </c>
      <c r="F40" s="59">
        <f t="shared" si="16"/>
        <v>510.99999999999994</v>
      </c>
      <c r="G40" s="59">
        <f t="shared" si="16"/>
        <v>510.99999999999994</v>
      </c>
      <c r="H40" s="59">
        <f t="shared" si="16"/>
        <v>510.99999999999994</v>
      </c>
      <c r="I40" s="59">
        <f t="shared" si="16"/>
        <v>510.99999999999994</v>
      </c>
      <c r="J40" s="59">
        <f t="shared" si="16"/>
        <v>510.99999999999994</v>
      </c>
      <c r="K40" s="59">
        <f t="shared" si="16"/>
        <v>510.99999999999994</v>
      </c>
      <c r="L40" s="59">
        <f t="shared" si="16"/>
        <v>510.99999999999994</v>
      </c>
      <c r="M40" s="59">
        <f t="shared" si="16"/>
        <v>510.99999999999994</v>
      </c>
      <c r="N40" s="59">
        <f t="shared" si="16"/>
        <v>510.99999999999994</v>
      </c>
      <c r="O40" s="59">
        <f t="shared" si="16"/>
        <v>510.99999999999994</v>
      </c>
      <c r="P40" s="59">
        <f t="shared" si="16"/>
        <v>510.99999999999994</v>
      </c>
      <c r="Q40" s="59">
        <f t="shared" si="16"/>
        <v>510.99999999999994</v>
      </c>
      <c r="R40" s="59">
        <f t="shared" si="16"/>
        <v>510.99999999999994</v>
      </c>
      <c r="S40" s="59">
        <f t="shared" si="16"/>
        <v>510.99999999999994</v>
      </c>
      <c r="T40" s="59">
        <f t="shared" si="16"/>
        <v>510.99999999999994</v>
      </c>
      <c r="U40" s="59">
        <f t="shared" si="16"/>
        <v>510.99999999999994</v>
      </c>
      <c r="V40" s="59">
        <f t="shared" si="16"/>
        <v>510.99999999999994</v>
      </c>
      <c r="W40" s="59">
        <f t="shared" si="16"/>
        <v>825.9487174999999</v>
      </c>
      <c r="X40" s="22"/>
      <c r="Y40" s="22"/>
      <c r="Z40" s="22"/>
    </row>
    <row r="41" spans="1:26" ht="19.5" customHeight="1" hidden="1">
      <c r="A41" s="22" t="s">
        <v>133</v>
      </c>
      <c r="B41" s="22">
        <f>B10*1.2</f>
        <v>1500</v>
      </c>
      <c r="C41" s="22">
        <f>C10*1.2</f>
        <v>1504.4759999999999</v>
      </c>
      <c r="D41" s="59">
        <f aca="true" t="shared" si="17" ref="D41:W41">D10</f>
        <v>337.6425998403173</v>
      </c>
      <c r="E41" s="59">
        <f t="shared" si="17"/>
        <v>290.3778823403173</v>
      </c>
      <c r="F41" s="59">
        <f t="shared" si="17"/>
        <v>290.3778823403173</v>
      </c>
      <c r="G41" s="59">
        <f t="shared" si="17"/>
        <v>290.3778823403173</v>
      </c>
      <c r="H41" s="59">
        <f t="shared" si="17"/>
        <v>290.3778823403173</v>
      </c>
      <c r="I41" s="59">
        <f t="shared" si="17"/>
        <v>290.3778823403173</v>
      </c>
      <c r="J41" s="59">
        <f t="shared" si="17"/>
        <v>290.3778823403173</v>
      </c>
      <c r="K41" s="59">
        <f t="shared" si="17"/>
        <v>290.3778823403173</v>
      </c>
      <c r="L41" s="59">
        <f t="shared" si="17"/>
        <v>290.3778823403173</v>
      </c>
      <c r="M41" s="59">
        <f t="shared" si="17"/>
        <v>290.3778823403173</v>
      </c>
      <c r="N41" s="59">
        <f t="shared" si="17"/>
        <v>299.3878723403173</v>
      </c>
      <c r="O41" s="59">
        <f t="shared" si="17"/>
        <v>299.3878723403173</v>
      </c>
      <c r="P41" s="59">
        <f t="shared" si="17"/>
        <v>299.3878723403173</v>
      </c>
      <c r="Q41" s="59">
        <f t="shared" si="17"/>
        <v>299.3878723403173</v>
      </c>
      <c r="R41" s="59">
        <f t="shared" si="17"/>
        <v>299.3878723403173</v>
      </c>
      <c r="S41" s="59">
        <f t="shared" si="17"/>
        <v>299.3878723403173</v>
      </c>
      <c r="T41" s="59">
        <f t="shared" si="17"/>
        <v>299.3878723403173</v>
      </c>
      <c r="U41" s="59">
        <f t="shared" si="17"/>
        <v>299.3878723403173</v>
      </c>
      <c r="V41" s="59">
        <f t="shared" si="17"/>
        <v>299.3878723403173</v>
      </c>
      <c r="W41" s="59">
        <f t="shared" si="17"/>
        <v>299.3878723403173</v>
      </c>
      <c r="X41" s="22"/>
      <c r="Y41" s="22"/>
      <c r="Z41" s="22"/>
    </row>
    <row r="42" spans="1:26" ht="19.5" customHeight="1" hidden="1">
      <c r="A42" s="22" t="s">
        <v>134</v>
      </c>
      <c r="B42" s="60">
        <f aca="true" t="shared" si="18" ref="B42:W42">B40-B41</f>
        <v>-1500</v>
      </c>
      <c r="C42" s="60">
        <f t="shared" si="18"/>
        <v>-1504.4759999999999</v>
      </c>
      <c r="D42" s="60">
        <f t="shared" si="18"/>
        <v>173.35740015968264</v>
      </c>
      <c r="E42" s="60">
        <f t="shared" si="18"/>
        <v>220.62211765968266</v>
      </c>
      <c r="F42" s="60">
        <f t="shared" si="18"/>
        <v>220.62211765968266</v>
      </c>
      <c r="G42" s="60">
        <f t="shared" si="18"/>
        <v>220.62211765968266</v>
      </c>
      <c r="H42" s="60">
        <f t="shared" si="18"/>
        <v>220.62211765968266</v>
      </c>
      <c r="I42" s="60">
        <f t="shared" si="18"/>
        <v>220.62211765968266</v>
      </c>
      <c r="J42" s="60">
        <f t="shared" si="18"/>
        <v>220.62211765968266</v>
      </c>
      <c r="K42" s="60">
        <f t="shared" si="18"/>
        <v>220.62211765968266</v>
      </c>
      <c r="L42" s="60">
        <f t="shared" si="18"/>
        <v>220.62211765968266</v>
      </c>
      <c r="M42" s="60">
        <f t="shared" si="18"/>
        <v>220.62211765968266</v>
      </c>
      <c r="N42" s="60">
        <f t="shared" si="18"/>
        <v>211.61212765968264</v>
      </c>
      <c r="O42" s="60">
        <f t="shared" si="18"/>
        <v>211.61212765968264</v>
      </c>
      <c r="P42" s="60">
        <f t="shared" si="18"/>
        <v>211.61212765968264</v>
      </c>
      <c r="Q42" s="60">
        <f t="shared" si="18"/>
        <v>211.61212765968264</v>
      </c>
      <c r="R42" s="60">
        <f t="shared" si="18"/>
        <v>211.61212765968264</v>
      </c>
      <c r="S42" s="60">
        <f t="shared" si="18"/>
        <v>211.61212765968264</v>
      </c>
      <c r="T42" s="60">
        <f t="shared" si="18"/>
        <v>211.61212765968264</v>
      </c>
      <c r="U42" s="60">
        <f t="shared" si="18"/>
        <v>211.61212765968264</v>
      </c>
      <c r="V42" s="60">
        <f t="shared" si="18"/>
        <v>211.61212765968264</v>
      </c>
      <c r="W42" s="60">
        <f t="shared" si="18"/>
        <v>526.5608451596827</v>
      </c>
      <c r="X42" s="22"/>
      <c r="Y42" s="22"/>
      <c r="Z42" s="22"/>
    </row>
    <row r="43" spans="1:26" ht="19.5" customHeight="1" hidden="1">
      <c r="A43" s="22" t="s">
        <v>135</v>
      </c>
      <c r="B43" s="60">
        <f>B42</f>
        <v>-1500</v>
      </c>
      <c r="C43" s="61">
        <f aca="true" t="shared" si="19" ref="C43:W43">B43+C42</f>
        <v>-3004.4759999999997</v>
      </c>
      <c r="D43" s="61">
        <f t="shared" si="19"/>
        <v>-2831.118599840317</v>
      </c>
      <c r="E43" s="61">
        <f t="shared" si="19"/>
        <v>-2610.4964821806343</v>
      </c>
      <c r="F43" s="61">
        <f t="shared" si="19"/>
        <v>-2389.8743645209515</v>
      </c>
      <c r="G43" s="61">
        <f t="shared" si="19"/>
        <v>-2169.2522468612688</v>
      </c>
      <c r="H43" s="61">
        <f t="shared" si="19"/>
        <v>-1948.630129201586</v>
      </c>
      <c r="I43" s="61">
        <f t="shared" si="19"/>
        <v>-1728.0080115419032</v>
      </c>
      <c r="J43" s="61">
        <f t="shared" si="19"/>
        <v>-1507.3858938822204</v>
      </c>
      <c r="K43" s="61">
        <f t="shared" si="19"/>
        <v>-1286.7637762225377</v>
      </c>
      <c r="L43" s="61">
        <f t="shared" si="19"/>
        <v>-1066.141658562855</v>
      </c>
      <c r="M43" s="61">
        <f t="shared" si="19"/>
        <v>-845.5195409031722</v>
      </c>
      <c r="N43" s="61">
        <f t="shared" si="19"/>
        <v>-633.9074132434896</v>
      </c>
      <c r="O43" s="61">
        <f t="shared" si="19"/>
        <v>-422.29528558380696</v>
      </c>
      <c r="P43" s="61">
        <f t="shared" si="19"/>
        <v>-210.68315792412432</v>
      </c>
      <c r="Q43" s="61">
        <f t="shared" si="19"/>
        <v>0.9289697355583257</v>
      </c>
      <c r="R43" s="61">
        <f t="shared" si="19"/>
        <v>212.54109739524097</v>
      </c>
      <c r="S43" s="61">
        <f t="shared" si="19"/>
        <v>424.1532250549236</v>
      </c>
      <c r="T43" s="61">
        <f t="shared" si="19"/>
        <v>635.7653527146063</v>
      </c>
      <c r="U43" s="61">
        <f t="shared" si="19"/>
        <v>847.3774803742889</v>
      </c>
      <c r="V43" s="61">
        <f t="shared" si="19"/>
        <v>1058.9896080339715</v>
      </c>
      <c r="W43" s="61">
        <f t="shared" si="19"/>
        <v>1585.5504531936542</v>
      </c>
      <c r="X43" s="22"/>
      <c r="Y43" s="22"/>
      <c r="Z43" s="22"/>
    </row>
    <row r="44" spans="2:23" ht="19.5" customHeight="1" hidden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7" ht="14.25" hidden="1">
      <c r="A45" t="s">
        <v>147</v>
      </c>
      <c r="D45" s="56">
        <f>IRR(B48:W48)</f>
        <v>0.08451365230844546</v>
      </c>
      <c r="E45">
        <f>G45*1.03</f>
        <v>11.33</v>
      </c>
      <c r="F45" s="58" t="s">
        <v>93</v>
      </c>
      <c r="G45">
        <f>COUNTIF(B49:W49,"&lt;0")</f>
        <v>11</v>
      </c>
    </row>
    <row r="46" spans="1:26" ht="19.5" customHeight="1" hidden="1">
      <c r="A46" s="22" t="s">
        <v>131</v>
      </c>
      <c r="B46" s="22"/>
      <c r="C46" s="22"/>
      <c r="D46" s="59">
        <f aca="true" t="shared" si="20" ref="D46:W46">D6</f>
        <v>510.99999999999994</v>
      </c>
      <c r="E46" s="59">
        <f t="shared" si="20"/>
        <v>510.99999999999994</v>
      </c>
      <c r="F46" s="59">
        <f t="shared" si="20"/>
        <v>510.99999999999994</v>
      </c>
      <c r="G46" s="59">
        <f t="shared" si="20"/>
        <v>510.99999999999994</v>
      </c>
      <c r="H46" s="59">
        <f t="shared" si="20"/>
        <v>510.99999999999994</v>
      </c>
      <c r="I46" s="59">
        <f t="shared" si="20"/>
        <v>510.99999999999994</v>
      </c>
      <c r="J46" s="59">
        <f t="shared" si="20"/>
        <v>510.99999999999994</v>
      </c>
      <c r="K46" s="59">
        <f t="shared" si="20"/>
        <v>510.99999999999994</v>
      </c>
      <c r="L46" s="59">
        <f t="shared" si="20"/>
        <v>510.99999999999994</v>
      </c>
      <c r="M46" s="59">
        <f t="shared" si="20"/>
        <v>510.99999999999994</v>
      </c>
      <c r="N46" s="59">
        <f t="shared" si="20"/>
        <v>510.99999999999994</v>
      </c>
      <c r="O46" s="59">
        <f t="shared" si="20"/>
        <v>510.99999999999994</v>
      </c>
      <c r="P46" s="59">
        <f t="shared" si="20"/>
        <v>510.99999999999994</v>
      </c>
      <c r="Q46" s="59">
        <f t="shared" si="20"/>
        <v>510.99999999999994</v>
      </c>
      <c r="R46" s="59">
        <f t="shared" si="20"/>
        <v>510.99999999999994</v>
      </c>
      <c r="S46" s="59">
        <f t="shared" si="20"/>
        <v>510.99999999999994</v>
      </c>
      <c r="T46" s="59">
        <f t="shared" si="20"/>
        <v>510.99999999999994</v>
      </c>
      <c r="U46" s="59">
        <f t="shared" si="20"/>
        <v>510.99999999999994</v>
      </c>
      <c r="V46" s="59">
        <f t="shared" si="20"/>
        <v>510.99999999999994</v>
      </c>
      <c r="W46" s="59">
        <f t="shared" si="20"/>
        <v>825.9487174999999</v>
      </c>
      <c r="X46" s="22"/>
      <c r="Y46" s="22"/>
      <c r="Z46" s="22"/>
    </row>
    <row r="47" spans="1:26" ht="19.5" customHeight="1" hidden="1">
      <c r="A47" s="22" t="s">
        <v>133</v>
      </c>
      <c r="B47" s="22">
        <f>B10*0.8</f>
        <v>1000</v>
      </c>
      <c r="C47" s="22">
        <f>C10*0.8</f>
        <v>1002.984</v>
      </c>
      <c r="D47" s="59">
        <f aca="true" t="shared" si="21" ref="D47:W47">D10</f>
        <v>337.6425998403173</v>
      </c>
      <c r="E47" s="59">
        <f t="shared" si="21"/>
        <v>290.3778823403173</v>
      </c>
      <c r="F47" s="59">
        <f t="shared" si="21"/>
        <v>290.3778823403173</v>
      </c>
      <c r="G47" s="59">
        <f t="shared" si="21"/>
        <v>290.3778823403173</v>
      </c>
      <c r="H47" s="59">
        <f t="shared" si="21"/>
        <v>290.3778823403173</v>
      </c>
      <c r="I47" s="59">
        <f t="shared" si="21"/>
        <v>290.3778823403173</v>
      </c>
      <c r="J47" s="59">
        <f t="shared" si="21"/>
        <v>290.3778823403173</v>
      </c>
      <c r="K47" s="59">
        <f t="shared" si="21"/>
        <v>290.3778823403173</v>
      </c>
      <c r="L47" s="59">
        <f t="shared" si="21"/>
        <v>290.3778823403173</v>
      </c>
      <c r="M47" s="59">
        <f t="shared" si="21"/>
        <v>290.3778823403173</v>
      </c>
      <c r="N47" s="59">
        <f t="shared" si="21"/>
        <v>299.3878723403173</v>
      </c>
      <c r="O47" s="59">
        <f t="shared" si="21"/>
        <v>299.3878723403173</v>
      </c>
      <c r="P47" s="59">
        <f t="shared" si="21"/>
        <v>299.3878723403173</v>
      </c>
      <c r="Q47" s="59">
        <f t="shared" si="21"/>
        <v>299.3878723403173</v>
      </c>
      <c r="R47" s="59">
        <f t="shared" si="21"/>
        <v>299.3878723403173</v>
      </c>
      <c r="S47" s="59">
        <f t="shared" si="21"/>
        <v>299.3878723403173</v>
      </c>
      <c r="T47" s="59">
        <f t="shared" si="21"/>
        <v>299.3878723403173</v>
      </c>
      <c r="U47" s="59">
        <f t="shared" si="21"/>
        <v>299.3878723403173</v>
      </c>
      <c r="V47" s="59">
        <f t="shared" si="21"/>
        <v>299.3878723403173</v>
      </c>
      <c r="W47" s="59">
        <f t="shared" si="21"/>
        <v>299.3878723403173</v>
      </c>
      <c r="X47" s="22"/>
      <c r="Y47" s="22"/>
      <c r="Z47" s="22"/>
    </row>
    <row r="48" spans="1:26" ht="19.5" customHeight="1" hidden="1">
      <c r="A48" s="22" t="s">
        <v>134</v>
      </c>
      <c r="B48" s="60">
        <f aca="true" t="shared" si="22" ref="B48:W48">B46-B47</f>
        <v>-1000</v>
      </c>
      <c r="C48" s="60">
        <f t="shared" si="22"/>
        <v>-1002.984</v>
      </c>
      <c r="D48" s="60">
        <f t="shared" si="22"/>
        <v>173.35740015968264</v>
      </c>
      <c r="E48" s="60">
        <f t="shared" si="22"/>
        <v>220.62211765968266</v>
      </c>
      <c r="F48" s="60">
        <f t="shared" si="22"/>
        <v>220.62211765968266</v>
      </c>
      <c r="G48" s="60">
        <f t="shared" si="22"/>
        <v>220.62211765968266</v>
      </c>
      <c r="H48" s="60">
        <f t="shared" si="22"/>
        <v>220.62211765968266</v>
      </c>
      <c r="I48" s="60">
        <f t="shared" si="22"/>
        <v>220.62211765968266</v>
      </c>
      <c r="J48" s="60">
        <f t="shared" si="22"/>
        <v>220.62211765968266</v>
      </c>
      <c r="K48" s="60">
        <f t="shared" si="22"/>
        <v>220.62211765968266</v>
      </c>
      <c r="L48" s="60">
        <f t="shared" si="22"/>
        <v>220.62211765968266</v>
      </c>
      <c r="M48" s="60">
        <f t="shared" si="22"/>
        <v>220.62211765968266</v>
      </c>
      <c r="N48" s="60">
        <f t="shared" si="22"/>
        <v>211.61212765968264</v>
      </c>
      <c r="O48" s="60">
        <f t="shared" si="22"/>
        <v>211.61212765968264</v>
      </c>
      <c r="P48" s="60">
        <f t="shared" si="22"/>
        <v>211.61212765968264</v>
      </c>
      <c r="Q48" s="60">
        <f t="shared" si="22"/>
        <v>211.61212765968264</v>
      </c>
      <c r="R48" s="60">
        <f t="shared" si="22"/>
        <v>211.61212765968264</v>
      </c>
      <c r="S48" s="60">
        <f t="shared" si="22"/>
        <v>211.61212765968264</v>
      </c>
      <c r="T48" s="60">
        <f t="shared" si="22"/>
        <v>211.61212765968264</v>
      </c>
      <c r="U48" s="60">
        <f t="shared" si="22"/>
        <v>211.61212765968264</v>
      </c>
      <c r="V48" s="60">
        <f t="shared" si="22"/>
        <v>211.61212765968264</v>
      </c>
      <c r="W48" s="60">
        <f t="shared" si="22"/>
        <v>526.5608451596827</v>
      </c>
      <c r="X48" s="22"/>
      <c r="Y48" s="22"/>
      <c r="Z48" s="22"/>
    </row>
    <row r="49" spans="1:26" ht="19.5" customHeight="1" hidden="1">
      <c r="A49" s="22" t="s">
        <v>135</v>
      </c>
      <c r="B49" s="60">
        <f>B48</f>
        <v>-1000</v>
      </c>
      <c r="C49" s="61">
        <f aca="true" t="shared" si="23" ref="C49:W49">B49+C48</f>
        <v>-2002.984</v>
      </c>
      <c r="D49" s="61">
        <f t="shared" si="23"/>
        <v>-1829.6265998403173</v>
      </c>
      <c r="E49" s="61">
        <f t="shared" si="23"/>
        <v>-1609.0044821806346</v>
      </c>
      <c r="F49" s="61">
        <f t="shared" si="23"/>
        <v>-1388.3823645209518</v>
      </c>
      <c r="G49" s="61">
        <f t="shared" si="23"/>
        <v>-1167.760246861269</v>
      </c>
      <c r="H49" s="61">
        <f t="shared" si="23"/>
        <v>-947.1381292015864</v>
      </c>
      <c r="I49" s="61">
        <f t="shared" si="23"/>
        <v>-726.5160115419037</v>
      </c>
      <c r="J49" s="61">
        <f t="shared" si="23"/>
        <v>-505.89389388222105</v>
      </c>
      <c r="K49" s="61">
        <f t="shared" si="23"/>
        <v>-285.2717762225384</v>
      </c>
      <c r="L49" s="61">
        <f t="shared" si="23"/>
        <v>-64.64965856285573</v>
      </c>
      <c r="M49" s="61">
        <f t="shared" si="23"/>
        <v>155.97245909682692</v>
      </c>
      <c r="N49" s="61">
        <f t="shared" si="23"/>
        <v>367.58458675650957</v>
      </c>
      <c r="O49" s="61">
        <f t="shared" si="23"/>
        <v>579.1967144161922</v>
      </c>
      <c r="P49" s="61">
        <f t="shared" si="23"/>
        <v>790.8088420758748</v>
      </c>
      <c r="Q49" s="61">
        <f t="shared" si="23"/>
        <v>1002.4209697355575</v>
      </c>
      <c r="R49" s="61">
        <f t="shared" si="23"/>
        <v>1214.03309739524</v>
      </c>
      <c r="S49" s="61">
        <f t="shared" si="23"/>
        <v>1425.6452250549228</v>
      </c>
      <c r="T49" s="61">
        <f t="shared" si="23"/>
        <v>1637.2573527146055</v>
      </c>
      <c r="U49" s="61">
        <f t="shared" si="23"/>
        <v>1848.8694803742883</v>
      </c>
      <c r="V49" s="61">
        <f t="shared" si="23"/>
        <v>2060.481608033971</v>
      </c>
      <c r="W49" s="61">
        <f t="shared" si="23"/>
        <v>2587.0424531936537</v>
      </c>
      <c r="X49" s="22"/>
      <c r="Y49" s="22"/>
      <c r="Z49" s="22"/>
    </row>
    <row r="50" spans="2:23" ht="19.5" customHeight="1" hidden="1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7" ht="14.25" hidden="1">
      <c r="A51" t="s">
        <v>148</v>
      </c>
      <c r="D51" s="56">
        <f>IRR(B54:W54)</f>
        <v>0.039198095954961015</v>
      </c>
      <c r="E51">
        <f>G51*1.04</f>
        <v>16.64</v>
      </c>
      <c r="F51" s="58" t="s">
        <v>93</v>
      </c>
      <c r="G51">
        <f>COUNTIF(B55:W55,"&lt;0")</f>
        <v>16</v>
      </c>
    </row>
    <row r="52" spans="1:26" ht="19.5" customHeight="1" hidden="1">
      <c r="A52" s="22" t="s">
        <v>131</v>
      </c>
      <c r="B52" s="22"/>
      <c r="C52" s="22"/>
      <c r="D52" s="59">
        <f aca="true" t="shared" si="24" ref="D52:W52">D6</f>
        <v>510.99999999999994</v>
      </c>
      <c r="E52" s="59">
        <f t="shared" si="24"/>
        <v>510.99999999999994</v>
      </c>
      <c r="F52" s="59">
        <f t="shared" si="24"/>
        <v>510.99999999999994</v>
      </c>
      <c r="G52" s="59">
        <f t="shared" si="24"/>
        <v>510.99999999999994</v>
      </c>
      <c r="H52" s="59">
        <f t="shared" si="24"/>
        <v>510.99999999999994</v>
      </c>
      <c r="I52" s="59">
        <f t="shared" si="24"/>
        <v>510.99999999999994</v>
      </c>
      <c r="J52" s="59">
        <f t="shared" si="24"/>
        <v>510.99999999999994</v>
      </c>
      <c r="K52" s="59">
        <f t="shared" si="24"/>
        <v>510.99999999999994</v>
      </c>
      <c r="L52" s="59">
        <f t="shared" si="24"/>
        <v>510.99999999999994</v>
      </c>
      <c r="M52" s="59">
        <f t="shared" si="24"/>
        <v>510.99999999999994</v>
      </c>
      <c r="N52" s="59">
        <f t="shared" si="24"/>
        <v>510.99999999999994</v>
      </c>
      <c r="O52" s="59">
        <f t="shared" si="24"/>
        <v>510.99999999999994</v>
      </c>
      <c r="P52" s="59">
        <f t="shared" si="24"/>
        <v>510.99999999999994</v>
      </c>
      <c r="Q52" s="59">
        <f t="shared" si="24"/>
        <v>510.99999999999994</v>
      </c>
      <c r="R52" s="59">
        <f t="shared" si="24"/>
        <v>510.99999999999994</v>
      </c>
      <c r="S52" s="59">
        <f t="shared" si="24"/>
        <v>510.99999999999994</v>
      </c>
      <c r="T52" s="59">
        <f t="shared" si="24"/>
        <v>510.99999999999994</v>
      </c>
      <c r="U52" s="59">
        <f t="shared" si="24"/>
        <v>510.99999999999994</v>
      </c>
      <c r="V52" s="59">
        <f t="shared" si="24"/>
        <v>510.99999999999994</v>
      </c>
      <c r="W52" s="59">
        <f t="shared" si="24"/>
        <v>825.9487174999999</v>
      </c>
      <c r="X52" s="22"/>
      <c r="Y52" s="22"/>
      <c r="Z52" s="22"/>
    </row>
    <row r="53" spans="1:26" ht="19.5" customHeight="1" hidden="1">
      <c r="A53" s="22" t="s">
        <v>133</v>
      </c>
      <c r="B53" s="22">
        <f>B10</f>
        <v>1250</v>
      </c>
      <c r="C53" s="22">
        <f>C10</f>
        <v>1253.73</v>
      </c>
      <c r="D53" s="59">
        <f aca="true" t="shared" si="25" ref="D53:W53">D10+D13*0.2</f>
        <v>375.4543738403173</v>
      </c>
      <c r="E53" s="59">
        <f t="shared" si="25"/>
        <v>328.1896563403173</v>
      </c>
      <c r="F53" s="59">
        <f t="shared" si="25"/>
        <v>328.1896563403173</v>
      </c>
      <c r="G53" s="59">
        <f t="shared" si="25"/>
        <v>328.1896563403173</v>
      </c>
      <c r="H53" s="59">
        <f t="shared" si="25"/>
        <v>328.1896563403173</v>
      </c>
      <c r="I53" s="59">
        <f t="shared" si="25"/>
        <v>328.1896563403173</v>
      </c>
      <c r="J53" s="59">
        <f t="shared" si="25"/>
        <v>328.1896563403173</v>
      </c>
      <c r="K53" s="59">
        <f t="shared" si="25"/>
        <v>328.1896563403173</v>
      </c>
      <c r="L53" s="59">
        <f t="shared" si="25"/>
        <v>328.1896563403173</v>
      </c>
      <c r="M53" s="59">
        <f t="shared" si="25"/>
        <v>328.1896563403173</v>
      </c>
      <c r="N53" s="59">
        <f t="shared" si="25"/>
        <v>337.1996463403173</v>
      </c>
      <c r="O53" s="59">
        <f t="shared" si="25"/>
        <v>337.1996463403173</v>
      </c>
      <c r="P53" s="59">
        <f t="shared" si="25"/>
        <v>337.1996463403173</v>
      </c>
      <c r="Q53" s="59">
        <f t="shared" si="25"/>
        <v>337.1996463403173</v>
      </c>
      <c r="R53" s="59">
        <f t="shared" si="25"/>
        <v>337.1996463403173</v>
      </c>
      <c r="S53" s="59">
        <f t="shared" si="25"/>
        <v>337.1996463403173</v>
      </c>
      <c r="T53" s="59">
        <f t="shared" si="25"/>
        <v>337.1996463403173</v>
      </c>
      <c r="U53" s="59">
        <f t="shared" si="25"/>
        <v>337.1996463403173</v>
      </c>
      <c r="V53" s="59">
        <f t="shared" si="25"/>
        <v>337.1996463403173</v>
      </c>
      <c r="W53" s="59">
        <f t="shared" si="25"/>
        <v>337.1996463403173</v>
      </c>
      <c r="X53" s="22"/>
      <c r="Y53" s="22"/>
      <c r="Z53" s="22"/>
    </row>
    <row r="54" spans="1:26" ht="19.5" customHeight="1" hidden="1">
      <c r="A54" s="22" t="s">
        <v>134</v>
      </c>
      <c r="B54" s="60">
        <f aca="true" t="shared" si="26" ref="B54:W54">B52-B53</f>
        <v>-1250</v>
      </c>
      <c r="C54" s="60">
        <f t="shared" si="26"/>
        <v>-1253.73</v>
      </c>
      <c r="D54" s="60">
        <f t="shared" si="26"/>
        <v>135.54562615968263</v>
      </c>
      <c r="E54" s="60">
        <f t="shared" si="26"/>
        <v>182.81034365968264</v>
      </c>
      <c r="F54" s="60">
        <f t="shared" si="26"/>
        <v>182.81034365968264</v>
      </c>
      <c r="G54" s="60">
        <f t="shared" si="26"/>
        <v>182.81034365968264</v>
      </c>
      <c r="H54" s="60">
        <f t="shared" si="26"/>
        <v>182.81034365968264</v>
      </c>
      <c r="I54" s="60">
        <f t="shared" si="26"/>
        <v>182.81034365968264</v>
      </c>
      <c r="J54" s="60">
        <f t="shared" si="26"/>
        <v>182.81034365968264</v>
      </c>
      <c r="K54" s="60">
        <f t="shared" si="26"/>
        <v>182.81034365968264</v>
      </c>
      <c r="L54" s="60">
        <f t="shared" si="26"/>
        <v>182.81034365968264</v>
      </c>
      <c r="M54" s="60">
        <f t="shared" si="26"/>
        <v>182.81034365968264</v>
      </c>
      <c r="N54" s="60">
        <f t="shared" si="26"/>
        <v>173.80035365968263</v>
      </c>
      <c r="O54" s="60">
        <f t="shared" si="26"/>
        <v>173.80035365968263</v>
      </c>
      <c r="P54" s="60">
        <f t="shared" si="26"/>
        <v>173.80035365968263</v>
      </c>
      <c r="Q54" s="60">
        <f t="shared" si="26"/>
        <v>173.80035365968263</v>
      </c>
      <c r="R54" s="60">
        <f t="shared" si="26"/>
        <v>173.80035365968263</v>
      </c>
      <c r="S54" s="60">
        <f t="shared" si="26"/>
        <v>173.80035365968263</v>
      </c>
      <c r="T54" s="60">
        <f t="shared" si="26"/>
        <v>173.80035365968263</v>
      </c>
      <c r="U54" s="60">
        <f t="shared" si="26"/>
        <v>173.80035365968263</v>
      </c>
      <c r="V54" s="60">
        <f t="shared" si="26"/>
        <v>173.80035365968263</v>
      </c>
      <c r="W54" s="60">
        <f t="shared" si="26"/>
        <v>488.7490711596826</v>
      </c>
      <c r="X54" s="22"/>
      <c r="Y54" s="22"/>
      <c r="Z54" s="22"/>
    </row>
    <row r="55" spans="1:26" ht="19.5" customHeight="1" hidden="1">
      <c r="A55" s="22" t="s">
        <v>135</v>
      </c>
      <c r="B55" s="60">
        <f>B54</f>
        <v>-1250</v>
      </c>
      <c r="C55" s="61">
        <f aca="true" t="shared" si="27" ref="C55:W55">B55+C54</f>
        <v>-2503.73</v>
      </c>
      <c r="D55" s="61">
        <f t="shared" si="27"/>
        <v>-2368.184373840317</v>
      </c>
      <c r="E55" s="61">
        <f t="shared" si="27"/>
        <v>-2185.3740301806347</v>
      </c>
      <c r="F55" s="61">
        <f t="shared" si="27"/>
        <v>-2002.5636865209522</v>
      </c>
      <c r="G55" s="61">
        <f t="shared" si="27"/>
        <v>-1819.7533428612696</v>
      </c>
      <c r="H55" s="61">
        <f t="shared" si="27"/>
        <v>-1636.942999201587</v>
      </c>
      <c r="I55" s="61">
        <f t="shared" si="27"/>
        <v>-1454.1326555419046</v>
      </c>
      <c r="J55" s="61">
        <f t="shared" si="27"/>
        <v>-1271.322311882222</v>
      </c>
      <c r="K55" s="61">
        <f t="shared" si="27"/>
        <v>-1088.5119682225395</v>
      </c>
      <c r="L55" s="61">
        <f t="shared" si="27"/>
        <v>-905.7016245628569</v>
      </c>
      <c r="M55" s="61">
        <f t="shared" si="27"/>
        <v>-722.8912809031742</v>
      </c>
      <c r="N55" s="61">
        <f t="shared" si="27"/>
        <v>-549.0909272434916</v>
      </c>
      <c r="O55" s="61">
        <f t="shared" si="27"/>
        <v>-375.29057358380896</v>
      </c>
      <c r="P55" s="61">
        <f t="shared" si="27"/>
        <v>-201.49021992412634</v>
      </c>
      <c r="Q55" s="61">
        <f t="shared" si="27"/>
        <v>-27.689866264443708</v>
      </c>
      <c r="R55" s="61">
        <f t="shared" si="27"/>
        <v>146.11048739523892</v>
      </c>
      <c r="S55" s="61">
        <f t="shared" si="27"/>
        <v>319.91084105492155</v>
      </c>
      <c r="T55" s="61">
        <f t="shared" si="27"/>
        <v>493.7111947146042</v>
      </c>
      <c r="U55" s="61">
        <f t="shared" si="27"/>
        <v>667.5115483742868</v>
      </c>
      <c r="V55" s="61">
        <f t="shared" si="27"/>
        <v>841.3119020339694</v>
      </c>
      <c r="W55" s="61">
        <f t="shared" si="27"/>
        <v>1330.060973193652</v>
      </c>
      <c r="X55" s="22"/>
      <c r="Y55" s="22"/>
      <c r="Z55" s="22"/>
    </row>
    <row r="56" spans="2:23" ht="19.5" customHeight="1" hidden="1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7" ht="14.25" hidden="1">
      <c r="A57" t="s">
        <v>149</v>
      </c>
      <c r="D57" s="56">
        <f>IRR(B60:W60)</f>
        <v>0.07669581173109763</v>
      </c>
      <c r="E57">
        <f>G57*1.06</f>
        <v>11.66</v>
      </c>
      <c r="F57" s="58" t="s">
        <v>93</v>
      </c>
      <c r="G57">
        <f>COUNTIF(B61:W61,"&lt;0")</f>
        <v>11</v>
      </c>
    </row>
    <row r="58" spans="1:26" ht="19.5" customHeight="1" hidden="1">
      <c r="A58" s="22" t="s">
        <v>131</v>
      </c>
      <c r="B58" s="22"/>
      <c r="C58" s="22"/>
      <c r="D58" s="59">
        <f aca="true" t="shared" si="28" ref="D58:W58">D6</f>
        <v>510.99999999999994</v>
      </c>
      <c r="E58" s="59">
        <f t="shared" si="28"/>
        <v>510.99999999999994</v>
      </c>
      <c r="F58" s="59">
        <f t="shared" si="28"/>
        <v>510.99999999999994</v>
      </c>
      <c r="G58" s="59">
        <f t="shared" si="28"/>
        <v>510.99999999999994</v>
      </c>
      <c r="H58" s="59">
        <f t="shared" si="28"/>
        <v>510.99999999999994</v>
      </c>
      <c r="I58" s="59">
        <f t="shared" si="28"/>
        <v>510.99999999999994</v>
      </c>
      <c r="J58" s="59">
        <f t="shared" si="28"/>
        <v>510.99999999999994</v>
      </c>
      <c r="K58" s="59">
        <f t="shared" si="28"/>
        <v>510.99999999999994</v>
      </c>
      <c r="L58" s="59">
        <f t="shared" si="28"/>
        <v>510.99999999999994</v>
      </c>
      <c r="M58" s="59">
        <f t="shared" si="28"/>
        <v>510.99999999999994</v>
      </c>
      <c r="N58" s="59">
        <f t="shared" si="28"/>
        <v>510.99999999999994</v>
      </c>
      <c r="O58" s="59">
        <f t="shared" si="28"/>
        <v>510.99999999999994</v>
      </c>
      <c r="P58" s="59">
        <f t="shared" si="28"/>
        <v>510.99999999999994</v>
      </c>
      <c r="Q58" s="59">
        <f t="shared" si="28"/>
        <v>510.99999999999994</v>
      </c>
      <c r="R58" s="59">
        <f t="shared" si="28"/>
        <v>510.99999999999994</v>
      </c>
      <c r="S58" s="59">
        <f t="shared" si="28"/>
        <v>510.99999999999994</v>
      </c>
      <c r="T58" s="59">
        <f t="shared" si="28"/>
        <v>510.99999999999994</v>
      </c>
      <c r="U58" s="59">
        <f t="shared" si="28"/>
        <v>510.99999999999994</v>
      </c>
      <c r="V58" s="59">
        <f t="shared" si="28"/>
        <v>510.99999999999994</v>
      </c>
      <c r="W58" s="59">
        <f t="shared" si="28"/>
        <v>825.9487174999999</v>
      </c>
      <c r="X58" s="22"/>
      <c r="Y58" s="22"/>
      <c r="Z58" s="22"/>
    </row>
    <row r="59" spans="1:26" ht="19.5" customHeight="1" hidden="1">
      <c r="A59" s="22" t="s">
        <v>133</v>
      </c>
      <c r="B59" s="59">
        <f>B10</f>
        <v>1250</v>
      </c>
      <c r="C59" s="59">
        <f>C10</f>
        <v>1253.73</v>
      </c>
      <c r="D59" s="59">
        <f aca="true" t="shared" si="29" ref="D59:W59">D10-D13*0.2</f>
        <v>299.8308258403173</v>
      </c>
      <c r="E59" s="59">
        <f t="shared" si="29"/>
        <v>252.56610834031727</v>
      </c>
      <c r="F59" s="59">
        <f t="shared" si="29"/>
        <v>252.56610834031727</v>
      </c>
      <c r="G59" s="59">
        <f t="shared" si="29"/>
        <v>252.56610834031727</v>
      </c>
      <c r="H59" s="59">
        <f t="shared" si="29"/>
        <v>252.56610834031727</v>
      </c>
      <c r="I59" s="59">
        <f t="shared" si="29"/>
        <v>252.56610834031727</v>
      </c>
      <c r="J59" s="59">
        <f t="shared" si="29"/>
        <v>252.56610834031727</v>
      </c>
      <c r="K59" s="59">
        <f t="shared" si="29"/>
        <v>252.56610834031727</v>
      </c>
      <c r="L59" s="59">
        <f t="shared" si="29"/>
        <v>252.56610834031727</v>
      </c>
      <c r="M59" s="59">
        <f t="shared" si="29"/>
        <v>252.56610834031727</v>
      </c>
      <c r="N59" s="59">
        <f t="shared" si="29"/>
        <v>261.5760983403173</v>
      </c>
      <c r="O59" s="59">
        <f t="shared" si="29"/>
        <v>261.5760983403173</v>
      </c>
      <c r="P59" s="59">
        <f t="shared" si="29"/>
        <v>261.5760983403173</v>
      </c>
      <c r="Q59" s="59">
        <f t="shared" si="29"/>
        <v>261.5760983403173</v>
      </c>
      <c r="R59" s="59">
        <f t="shared" si="29"/>
        <v>261.5760983403173</v>
      </c>
      <c r="S59" s="59">
        <f t="shared" si="29"/>
        <v>261.5760983403173</v>
      </c>
      <c r="T59" s="59">
        <f t="shared" si="29"/>
        <v>261.5760983403173</v>
      </c>
      <c r="U59" s="59">
        <f t="shared" si="29"/>
        <v>261.5760983403173</v>
      </c>
      <c r="V59" s="59">
        <f t="shared" si="29"/>
        <v>261.5760983403173</v>
      </c>
      <c r="W59" s="59">
        <f t="shared" si="29"/>
        <v>261.5760983403173</v>
      </c>
      <c r="X59" s="22"/>
      <c r="Y59" s="22"/>
      <c r="Z59" s="22"/>
    </row>
    <row r="60" spans="1:26" ht="19.5" customHeight="1" hidden="1">
      <c r="A60" s="22" t="s">
        <v>134</v>
      </c>
      <c r="B60" s="60">
        <f aca="true" t="shared" si="30" ref="B60:W60">B58-B59</f>
        <v>-1250</v>
      </c>
      <c r="C60" s="60">
        <f t="shared" si="30"/>
        <v>-1253.73</v>
      </c>
      <c r="D60" s="60">
        <f t="shared" si="30"/>
        <v>211.16917415968265</v>
      </c>
      <c r="E60" s="60">
        <f t="shared" si="30"/>
        <v>258.4338916596827</v>
      </c>
      <c r="F60" s="60">
        <f t="shared" si="30"/>
        <v>258.4338916596827</v>
      </c>
      <c r="G60" s="60">
        <f t="shared" si="30"/>
        <v>258.4338916596827</v>
      </c>
      <c r="H60" s="60">
        <f t="shared" si="30"/>
        <v>258.4338916596827</v>
      </c>
      <c r="I60" s="60">
        <f t="shared" si="30"/>
        <v>258.4338916596827</v>
      </c>
      <c r="J60" s="60">
        <f t="shared" si="30"/>
        <v>258.4338916596827</v>
      </c>
      <c r="K60" s="60">
        <f t="shared" si="30"/>
        <v>258.4338916596827</v>
      </c>
      <c r="L60" s="60">
        <f t="shared" si="30"/>
        <v>258.4338916596827</v>
      </c>
      <c r="M60" s="60">
        <f t="shared" si="30"/>
        <v>258.4338916596827</v>
      </c>
      <c r="N60" s="60">
        <f t="shared" si="30"/>
        <v>249.42390165968266</v>
      </c>
      <c r="O60" s="60">
        <f t="shared" si="30"/>
        <v>249.42390165968266</v>
      </c>
      <c r="P60" s="60">
        <f t="shared" si="30"/>
        <v>249.42390165968266</v>
      </c>
      <c r="Q60" s="60">
        <f t="shared" si="30"/>
        <v>249.42390165968266</v>
      </c>
      <c r="R60" s="60">
        <f t="shared" si="30"/>
        <v>249.42390165968266</v>
      </c>
      <c r="S60" s="60">
        <f t="shared" si="30"/>
        <v>249.42390165968266</v>
      </c>
      <c r="T60" s="60">
        <f t="shared" si="30"/>
        <v>249.42390165968266</v>
      </c>
      <c r="U60" s="60">
        <f t="shared" si="30"/>
        <v>249.42390165968266</v>
      </c>
      <c r="V60" s="60">
        <f t="shared" si="30"/>
        <v>249.42390165968266</v>
      </c>
      <c r="W60" s="60">
        <f t="shared" si="30"/>
        <v>564.3726191596827</v>
      </c>
      <c r="X60" s="22"/>
      <c r="Y60" s="22"/>
      <c r="Z60" s="22"/>
    </row>
    <row r="61" spans="1:26" ht="19.5" customHeight="1" hidden="1">
      <c r="A61" s="22" t="s">
        <v>135</v>
      </c>
      <c r="B61" s="60">
        <f>B60</f>
        <v>-1250</v>
      </c>
      <c r="C61" s="61">
        <f aca="true" t="shared" si="31" ref="C61:W61">B61+C60</f>
        <v>-2503.73</v>
      </c>
      <c r="D61" s="61">
        <f t="shared" si="31"/>
        <v>-2292.560825840317</v>
      </c>
      <c r="E61" s="61">
        <f t="shared" si="31"/>
        <v>-2034.1269341806346</v>
      </c>
      <c r="F61" s="61">
        <f t="shared" si="31"/>
        <v>-1775.693042520952</v>
      </c>
      <c r="G61" s="61">
        <f t="shared" si="31"/>
        <v>-1517.2591508612695</v>
      </c>
      <c r="H61" s="61">
        <f t="shared" si="31"/>
        <v>-1258.825259201587</v>
      </c>
      <c r="I61" s="61">
        <f t="shared" si="31"/>
        <v>-1000.3913675419043</v>
      </c>
      <c r="J61" s="61">
        <f t="shared" si="31"/>
        <v>-741.9574758822216</v>
      </c>
      <c r="K61" s="61">
        <f t="shared" si="31"/>
        <v>-483.52358422253894</v>
      </c>
      <c r="L61" s="61">
        <f t="shared" si="31"/>
        <v>-225.08969256285627</v>
      </c>
      <c r="M61" s="61">
        <f t="shared" si="31"/>
        <v>33.3441990968264</v>
      </c>
      <c r="N61" s="61">
        <f t="shared" si="31"/>
        <v>282.76810075650906</v>
      </c>
      <c r="O61" s="61">
        <f t="shared" si="31"/>
        <v>532.1920024161917</v>
      </c>
      <c r="P61" s="61">
        <f t="shared" si="31"/>
        <v>781.6159040758744</v>
      </c>
      <c r="Q61" s="61">
        <f t="shared" si="31"/>
        <v>1031.039805735557</v>
      </c>
      <c r="R61" s="61">
        <f t="shared" si="31"/>
        <v>1280.4637073952395</v>
      </c>
      <c r="S61" s="61">
        <f t="shared" si="31"/>
        <v>1529.887609054922</v>
      </c>
      <c r="T61" s="61">
        <f t="shared" si="31"/>
        <v>1779.3115107146045</v>
      </c>
      <c r="U61" s="61">
        <f t="shared" si="31"/>
        <v>2028.735412374287</v>
      </c>
      <c r="V61" s="61">
        <f t="shared" si="31"/>
        <v>2278.1593140339696</v>
      </c>
      <c r="W61" s="61">
        <f t="shared" si="31"/>
        <v>2842.5319331936525</v>
      </c>
      <c r="X61" s="22"/>
      <c r="Y61" s="22"/>
      <c r="Z61" s="22"/>
    </row>
    <row r="62" ht="14.25" hidden="1"/>
    <row r="63" ht="14.25" hidden="1"/>
    <row r="64" ht="14.25" hidden="1">
      <c r="E64" s="64">
        <f>COUNTIF(B61:W61,"&lt;0")</f>
        <v>11</v>
      </c>
    </row>
    <row r="65" ht="14.25" hidden="1"/>
    <row r="66" ht="14.25" hidden="1"/>
    <row r="67" ht="14.25" hidden="1"/>
    <row r="68" ht="14.25" hidden="1"/>
    <row r="69" ht="14.25" hidden="1"/>
  </sheetData>
  <mergeCells count="2">
    <mergeCell ref="D2:K2"/>
    <mergeCell ref="Q2:X2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B20"/>
  <sheetViews>
    <sheetView zoomScale="75" zoomScaleNormal="75" workbookViewId="0" topLeftCell="A1">
      <selection activeCell="O2" sqref="O2"/>
    </sheetView>
  </sheetViews>
  <sheetFormatPr defaultColWidth="9.00390625" defaultRowHeight="14.25"/>
  <cols>
    <col min="1" max="1" width="17.125" style="0" customWidth="1"/>
    <col min="2" max="27" width="8.125" style="0" customWidth="1"/>
  </cols>
  <sheetData>
    <row r="2" spans="3:23" ht="50.25" customHeight="1">
      <c r="C2" s="85" t="s">
        <v>150</v>
      </c>
      <c r="D2" s="85"/>
      <c r="E2" s="85"/>
      <c r="F2" s="85"/>
      <c r="G2" s="85"/>
      <c r="H2" s="85"/>
      <c r="I2" s="85"/>
      <c r="J2" s="85"/>
      <c r="K2" s="40"/>
      <c r="L2" s="40"/>
      <c r="M2" s="40"/>
      <c r="N2" s="40"/>
      <c r="O2" s="40"/>
      <c r="P2" s="85" t="s">
        <v>150</v>
      </c>
      <c r="Q2" s="85"/>
      <c r="R2" s="85"/>
      <c r="S2" s="85"/>
      <c r="T2" s="85"/>
      <c r="U2" s="85"/>
      <c r="V2" s="85"/>
      <c r="W2" s="85"/>
    </row>
    <row r="3" ht="10.5" customHeight="1"/>
    <row r="4" spans="1:27" ht="30" customHeight="1">
      <c r="A4" s="20" t="s">
        <v>31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/>
      <c r="AA4" s="20" t="s">
        <v>29</v>
      </c>
    </row>
    <row r="5" spans="1:28" ht="19.5" customHeight="1">
      <c r="A5" s="21" t="s">
        <v>58</v>
      </c>
      <c r="B5" s="23"/>
      <c r="C5" s="23"/>
      <c r="D5" s="24">
        <f>'数据表'!J2</f>
        <v>100</v>
      </c>
      <c r="E5" s="24">
        <f>'数据表'!J3</f>
        <v>100</v>
      </c>
      <c r="F5" s="24">
        <f>'数据表'!J4</f>
        <v>100</v>
      </c>
      <c r="G5" s="24">
        <f>'数据表'!J5</f>
        <v>100</v>
      </c>
      <c r="H5" s="24">
        <f>'数据表'!J6</f>
        <v>100</v>
      </c>
      <c r="I5" s="24">
        <f>'数据表'!J7</f>
        <v>100</v>
      </c>
      <c r="J5" s="24">
        <f>'数据表'!J8</f>
        <v>100</v>
      </c>
      <c r="K5" s="24">
        <f>'数据表'!J9</f>
        <v>100</v>
      </c>
      <c r="L5" s="24">
        <f>'数据表'!J10</f>
        <v>100</v>
      </c>
      <c r="M5" s="24">
        <f>'数据表'!J11</f>
        <v>100</v>
      </c>
      <c r="N5" s="24">
        <v>100</v>
      </c>
      <c r="O5" s="24">
        <v>100</v>
      </c>
      <c r="P5" s="24">
        <v>100</v>
      </c>
      <c r="Q5" s="24">
        <v>100</v>
      </c>
      <c r="R5" s="24">
        <v>100</v>
      </c>
      <c r="S5" s="24">
        <v>100</v>
      </c>
      <c r="T5" s="24">
        <v>100</v>
      </c>
      <c r="U5" s="24">
        <v>100</v>
      </c>
      <c r="V5" s="24">
        <v>100</v>
      </c>
      <c r="W5" s="24">
        <v>100</v>
      </c>
      <c r="X5" s="24"/>
      <c r="Y5" s="24"/>
      <c r="Z5" s="24"/>
      <c r="AA5" s="23"/>
      <c r="AB5" s="38"/>
    </row>
    <row r="6" spans="1:28" ht="19.5" customHeight="1">
      <c r="A6" s="21" t="s">
        <v>131</v>
      </c>
      <c r="B6" s="23"/>
      <c r="C6" s="23"/>
      <c r="D6" s="23">
        <f aca="true" t="shared" si="0" ref="D6:W6">SUM(D7:D9)</f>
        <v>510.99999999999994</v>
      </c>
      <c r="E6" s="23">
        <f t="shared" si="0"/>
        <v>510.99999999999994</v>
      </c>
      <c r="F6" s="23">
        <f t="shared" si="0"/>
        <v>510.99999999999994</v>
      </c>
      <c r="G6" s="23">
        <f t="shared" si="0"/>
        <v>510.99999999999994</v>
      </c>
      <c r="H6" s="23">
        <f t="shared" si="0"/>
        <v>510.99999999999994</v>
      </c>
      <c r="I6" s="23">
        <f t="shared" si="0"/>
        <v>510.99999999999994</v>
      </c>
      <c r="J6" s="23">
        <f t="shared" si="0"/>
        <v>510.99999999999994</v>
      </c>
      <c r="K6" s="23">
        <f t="shared" si="0"/>
        <v>510.99999999999994</v>
      </c>
      <c r="L6" s="23">
        <f t="shared" si="0"/>
        <v>510.99999999999994</v>
      </c>
      <c r="M6" s="23">
        <f t="shared" si="0"/>
        <v>510.99999999999994</v>
      </c>
      <c r="N6" s="24">
        <f t="shared" si="0"/>
        <v>510.99999999999994</v>
      </c>
      <c r="O6" s="24">
        <f t="shared" si="0"/>
        <v>510.99999999999994</v>
      </c>
      <c r="P6" s="24">
        <f t="shared" si="0"/>
        <v>510.99999999999994</v>
      </c>
      <c r="Q6" s="24">
        <f t="shared" si="0"/>
        <v>510.99999999999994</v>
      </c>
      <c r="R6" s="24">
        <f t="shared" si="0"/>
        <v>510.99999999999994</v>
      </c>
      <c r="S6" s="24">
        <f t="shared" si="0"/>
        <v>510.99999999999994</v>
      </c>
      <c r="T6" s="24">
        <f t="shared" si="0"/>
        <v>510.99999999999994</v>
      </c>
      <c r="U6" s="24">
        <f t="shared" si="0"/>
        <v>510.99999999999994</v>
      </c>
      <c r="V6" s="24">
        <f t="shared" si="0"/>
        <v>510.99999999999994</v>
      </c>
      <c r="W6" s="24">
        <f t="shared" si="0"/>
        <v>825.9487174999999</v>
      </c>
      <c r="X6" s="24"/>
      <c r="Y6" s="23"/>
      <c r="Z6" s="23"/>
      <c r="AA6" s="24">
        <f>SUM(D6:Y6)</f>
        <v>10534.948717499998</v>
      </c>
      <c r="AB6" s="38"/>
    </row>
    <row r="7" spans="1:28" ht="19.5" customHeight="1">
      <c r="A7" s="21" t="s">
        <v>132</v>
      </c>
      <c r="B7" s="23"/>
      <c r="C7" s="23"/>
      <c r="D7" s="23">
        <f>'损益表'!D5</f>
        <v>510.99999999999994</v>
      </c>
      <c r="E7" s="23">
        <f>'损益表'!E5</f>
        <v>510.99999999999994</v>
      </c>
      <c r="F7" s="23">
        <f>'损益表'!F5</f>
        <v>510.99999999999994</v>
      </c>
      <c r="G7" s="23">
        <f>'损益表'!G5</f>
        <v>510.99999999999994</v>
      </c>
      <c r="H7" s="23">
        <f>'损益表'!H5</f>
        <v>510.99999999999994</v>
      </c>
      <c r="I7" s="23">
        <f>'损益表'!I5</f>
        <v>510.99999999999994</v>
      </c>
      <c r="J7" s="23">
        <f>'损益表'!J5</f>
        <v>510.99999999999994</v>
      </c>
      <c r="K7" s="23">
        <f>'损益表'!K5</f>
        <v>510.99999999999994</v>
      </c>
      <c r="L7" s="23">
        <f>'损益表'!L5</f>
        <v>510.99999999999994</v>
      </c>
      <c r="M7" s="23">
        <f>'损益表'!M5</f>
        <v>510.99999999999994</v>
      </c>
      <c r="N7" s="23">
        <f>'损益表'!N5</f>
        <v>510.99999999999994</v>
      </c>
      <c r="O7" s="23">
        <f>'损益表'!O5</f>
        <v>510.99999999999994</v>
      </c>
      <c r="P7" s="23">
        <f>'损益表'!P5</f>
        <v>510.99999999999994</v>
      </c>
      <c r="Q7" s="23">
        <f>'损益表'!Q5</f>
        <v>510.99999999999994</v>
      </c>
      <c r="R7" s="23">
        <f>'损益表'!R5</f>
        <v>510.99999999999994</v>
      </c>
      <c r="S7" s="23">
        <f>'损益表'!S5</f>
        <v>510.99999999999994</v>
      </c>
      <c r="T7" s="23">
        <f>'损益表'!T5</f>
        <v>510.99999999999994</v>
      </c>
      <c r="U7" s="23">
        <f>'损益表'!U5</f>
        <v>510.99999999999994</v>
      </c>
      <c r="V7" s="23">
        <f>'损益表'!V5</f>
        <v>510.99999999999994</v>
      </c>
      <c r="W7" s="23">
        <f>'损益表'!W5</f>
        <v>510.99999999999994</v>
      </c>
      <c r="X7" s="24"/>
      <c r="Y7" s="23"/>
      <c r="Z7" s="23"/>
      <c r="AA7" s="24">
        <f>SUM(D7:Y7)</f>
        <v>10219.999999999998</v>
      </c>
      <c r="AB7" s="38"/>
    </row>
    <row r="8" spans="1:28" ht="19.5" customHeight="1">
      <c r="A8" s="21" t="s">
        <v>101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f>'数据表'!D12</f>
        <v>267.68399999999997</v>
      </c>
      <c r="X8" s="23"/>
      <c r="Y8" s="23"/>
      <c r="Z8" s="23"/>
      <c r="AA8" s="24">
        <f>W8</f>
        <v>267.68399999999997</v>
      </c>
      <c r="AB8" s="38"/>
    </row>
    <row r="9" spans="1:28" ht="19.5" customHeight="1">
      <c r="A9" s="21" t="s">
        <v>102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>
        <f>'数据表'!D9</f>
        <v>47.264717499999996</v>
      </c>
      <c r="X9" s="24"/>
      <c r="Y9" s="23"/>
      <c r="Z9" s="23"/>
      <c r="AA9" s="24">
        <f>W9</f>
        <v>47.264717499999996</v>
      </c>
      <c r="AB9" s="38"/>
    </row>
    <row r="10" spans="1:28" ht="19.5" customHeight="1">
      <c r="A10" s="21" t="s">
        <v>133</v>
      </c>
      <c r="B10" s="24">
        <f aca="true" t="shared" si="1" ref="B10:W10">SUM(B11:B19)</f>
        <v>1250</v>
      </c>
      <c r="C10" s="24">
        <f t="shared" si="1"/>
        <v>1253.73</v>
      </c>
      <c r="D10" s="24">
        <f t="shared" si="1"/>
        <v>306.7180986802648</v>
      </c>
      <c r="E10" s="24">
        <f t="shared" si="1"/>
        <v>292.5386834302648</v>
      </c>
      <c r="F10" s="24">
        <f t="shared" si="1"/>
        <v>292.5386834302648</v>
      </c>
      <c r="G10" s="24">
        <f t="shared" si="1"/>
        <v>292.5386834302648</v>
      </c>
      <c r="H10" s="24">
        <f t="shared" si="1"/>
        <v>292.5386834302648</v>
      </c>
      <c r="I10" s="24">
        <f t="shared" si="1"/>
        <v>292.5386834302648</v>
      </c>
      <c r="J10" s="24">
        <f t="shared" si="1"/>
        <v>292.5386834302648</v>
      </c>
      <c r="K10" s="24">
        <f t="shared" si="1"/>
        <v>292.5386834302648</v>
      </c>
      <c r="L10" s="24">
        <f t="shared" si="1"/>
        <v>292.5386834302648</v>
      </c>
      <c r="M10" s="24">
        <f t="shared" si="1"/>
        <v>292.5386834302648</v>
      </c>
      <c r="N10" s="24">
        <f t="shared" si="1"/>
        <v>301.5486734302648</v>
      </c>
      <c r="O10" s="24">
        <f t="shared" si="1"/>
        <v>301.5486734302648</v>
      </c>
      <c r="P10" s="24">
        <f t="shared" si="1"/>
        <v>301.5486734302648</v>
      </c>
      <c r="Q10" s="24">
        <f t="shared" si="1"/>
        <v>301.5486734302648</v>
      </c>
      <c r="R10" s="24">
        <f t="shared" si="1"/>
        <v>301.5486734302648</v>
      </c>
      <c r="S10" s="24">
        <f t="shared" si="1"/>
        <v>301.5486734302648</v>
      </c>
      <c r="T10" s="24">
        <f t="shared" si="1"/>
        <v>301.5486734302648</v>
      </c>
      <c r="U10" s="24">
        <f t="shared" si="1"/>
        <v>301.5486734302648</v>
      </c>
      <c r="V10" s="24">
        <f t="shared" si="1"/>
        <v>301.5486734302648</v>
      </c>
      <c r="W10" s="24">
        <f t="shared" si="1"/>
        <v>334.6339756802648</v>
      </c>
      <c r="X10" s="23"/>
      <c r="Y10" s="23"/>
      <c r="Z10" s="23"/>
      <c r="AA10" s="24">
        <f>SUM(B10:X10)</f>
        <v>8491.868286105295</v>
      </c>
      <c r="AB10" s="38"/>
    </row>
    <row r="11" spans="1:28" ht="19.5" customHeight="1">
      <c r="A11" s="21" t="s">
        <v>151</v>
      </c>
      <c r="B11" s="24">
        <f>'资金来源表'!B12</f>
        <v>1250</v>
      </c>
      <c r="C11" s="24">
        <f>'资金来源表'!C12</f>
        <v>1253.73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>
        <f>SUM(B11:Y11)</f>
        <v>2503.73</v>
      </c>
      <c r="AB11" s="38"/>
    </row>
    <row r="12" spans="1:28" ht="19.5" customHeight="1">
      <c r="A12" s="21" t="s">
        <v>100</v>
      </c>
      <c r="B12" s="23"/>
      <c r="C12" s="23"/>
      <c r="D12" s="24">
        <f>'资金来源表'!D13</f>
        <v>14.179415249999998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>
        <f>SUM(D12)</f>
        <v>14.179415249999998</v>
      </c>
      <c r="AB12" s="38"/>
    </row>
    <row r="13" spans="1:28" ht="19.5" customHeight="1">
      <c r="A13" s="21" t="s">
        <v>106</v>
      </c>
      <c r="B13" s="23"/>
      <c r="C13" s="23"/>
      <c r="D13" s="24">
        <f>'贷款表'!E14</f>
        <v>0</v>
      </c>
      <c r="E13" s="24">
        <f>'贷款表'!F14</f>
        <v>0</v>
      </c>
      <c r="F13" s="24">
        <f>'贷款表'!G14</f>
        <v>0</v>
      </c>
      <c r="G13" s="24">
        <f>'贷款表'!H14</f>
        <v>0</v>
      </c>
      <c r="H13" s="24">
        <f>'贷款表'!I14</f>
        <v>0</v>
      </c>
      <c r="I13" s="24">
        <f>'贷款表'!J14</f>
        <v>0</v>
      </c>
      <c r="J13" s="24">
        <f>'贷款表'!K14</f>
        <v>0</v>
      </c>
      <c r="K13" s="24">
        <f>'贷款表'!L14</f>
        <v>0</v>
      </c>
      <c r="L13" s="24">
        <f>'贷款表'!M14</f>
        <v>0</v>
      </c>
      <c r="M13" s="24">
        <f>'贷款表'!N14</f>
        <v>0</v>
      </c>
      <c r="N13" s="24">
        <f>'贷款表'!O14</f>
        <v>0</v>
      </c>
      <c r="O13" s="24">
        <f>'贷款表'!P14</f>
        <v>0</v>
      </c>
      <c r="P13" s="24">
        <f>'贷款表'!Q14</f>
        <v>0</v>
      </c>
      <c r="Q13" s="24">
        <f>'贷款表'!R14</f>
        <v>0</v>
      </c>
      <c r="R13" s="24">
        <f>'贷款表'!S14</f>
        <v>0</v>
      </c>
      <c r="S13" s="24">
        <f>'贷款表'!T14</f>
        <v>0</v>
      </c>
      <c r="T13" s="24">
        <f>'贷款表'!U14</f>
        <v>0</v>
      </c>
      <c r="U13" s="24">
        <f>'贷款表'!V14</f>
        <v>0</v>
      </c>
      <c r="V13" s="24">
        <f>'贷款表'!W14</f>
        <v>0</v>
      </c>
      <c r="W13" s="24">
        <f>'贷款表'!X14</f>
        <v>0</v>
      </c>
      <c r="X13" s="23"/>
      <c r="Y13" s="23"/>
      <c r="Z13" s="23"/>
      <c r="AA13" s="24">
        <f>SUM(D13:X13)</f>
        <v>0</v>
      </c>
      <c r="AB13" s="38"/>
    </row>
    <row r="14" spans="1:28" ht="19.5" customHeight="1">
      <c r="A14" s="21" t="s">
        <v>152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>
        <f>'数据表'!D9*0.7</f>
        <v>33.08530225</v>
      </c>
      <c r="X14" s="24"/>
      <c r="Y14" s="23"/>
      <c r="Z14" s="23"/>
      <c r="AA14" s="24">
        <f>W14</f>
        <v>33.08530225</v>
      </c>
      <c r="AB14" s="38"/>
    </row>
    <row r="15" spans="1:28" ht="19.5" customHeight="1">
      <c r="A15" s="21" t="s">
        <v>153</v>
      </c>
      <c r="B15" s="23"/>
      <c r="C15" s="23"/>
      <c r="D15" s="24">
        <f>'贷款表'!E13</f>
        <v>0</v>
      </c>
      <c r="E15" s="24">
        <f>'贷款表'!F13</f>
        <v>0</v>
      </c>
      <c r="F15" s="24">
        <f>'贷款表'!G13</f>
        <v>0</v>
      </c>
      <c r="G15" s="24">
        <f>'贷款表'!H13</f>
        <v>0</v>
      </c>
      <c r="H15" s="24">
        <f>'贷款表'!I13</f>
        <v>0</v>
      </c>
      <c r="I15" s="24">
        <f>'贷款表'!J13</f>
        <v>0</v>
      </c>
      <c r="J15" s="24">
        <f>'贷款表'!K13</f>
        <v>0</v>
      </c>
      <c r="K15" s="24">
        <f>'贷款表'!L13</f>
        <v>0</v>
      </c>
      <c r="L15" s="24">
        <f>'贷款表'!M13</f>
        <v>0</v>
      </c>
      <c r="M15" s="24">
        <f>'贷款表'!N13</f>
        <v>0</v>
      </c>
      <c r="N15" s="24">
        <f>'贷款表'!O13</f>
        <v>0</v>
      </c>
      <c r="O15" s="24">
        <f>'贷款表'!P13</f>
        <v>0</v>
      </c>
      <c r="P15" s="24">
        <f>'贷款表'!Q13</f>
        <v>0</v>
      </c>
      <c r="Q15" s="24">
        <f>'贷款表'!R13</f>
        <v>0</v>
      </c>
      <c r="R15" s="24">
        <f>'贷款表'!S13</f>
        <v>0</v>
      </c>
      <c r="S15" s="24">
        <f>'贷款表'!T13</f>
        <v>0</v>
      </c>
      <c r="T15" s="24">
        <f>'贷款表'!U13</f>
        <v>0</v>
      </c>
      <c r="U15" s="24">
        <f>'贷款表'!V13</f>
        <v>0</v>
      </c>
      <c r="V15" s="24">
        <f>'贷款表'!W13</f>
        <v>0</v>
      </c>
      <c r="W15" s="24">
        <f>'贷款表'!X13</f>
        <v>0</v>
      </c>
      <c r="X15" s="23"/>
      <c r="Y15" s="23"/>
      <c r="Z15" s="23"/>
      <c r="AA15" s="24">
        <f>SUM(D15:X15)</f>
        <v>0</v>
      </c>
      <c r="AB15" s="38"/>
    </row>
    <row r="16" spans="1:28" ht="19.5" customHeight="1">
      <c r="A16" s="21" t="s">
        <v>154</v>
      </c>
      <c r="B16" s="23"/>
      <c r="C16" s="23"/>
      <c r="D16" s="24">
        <f>'资金来源表'!D10*0.06531</f>
        <v>2.1608010899475003</v>
      </c>
      <c r="E16" s="24">
        <f aca="true" t="shared" si="2" ref="E16:W16">D16</f>
        <v>2.1608010899475003</v>
      </c>
      <c r="F16" s="24">
        <f t="shared" si="2"/>
        <v>2.1608010899475003</v>
      </c>
      <c r="G16" s="24">
        <f t="shared" si="2"/>
        <v>2.1608010899475003</v>
      </c>
      <c r="H16" s="24">
        <f t="shared" si="2"/>
        <v>2.1608010899475003</v>
      </c>
      <c r="I16" s="24">
        <f t="shared" si="2"/>
        <v>2.1608010899475003</v>
      </c>
      <c r="J16" s="24">
        <f t="shared" si="2"/>
        <v>2.1608010899475003</v>
      </c>
      <c r="K16" s="24">
        <f t="shared" si="2"/>
        <v>2.1608010899475003</v>
      </c>
      <c r="L16" s="24">
        <f t="shared" si="2"/>
        <v>2.1608010899475003</v>
      </c>
      <c r="M16" s="24">
        <f t="shared" si="2"/>
        <v>2.1608010899475003</v>
      </c>
      <c r="N16" s="24">
        <f t="shared" si="2"/>
        <v>2.1608010899475003</v>
      </c>
      <c r="O16" s="24">
        <f t="shared" si="2"/>
        <v>2.1608010899475003</v>
      </c>
      <c r="P16" s="24">
        <f t="shared" si="2"/>
        <v>2.1608010899475003</v>
      </c>
      <c r="Q16" s="24">
        <f t="shared" si="2"/>
        <v>2.1608010899475003</v>
      </c>
      <c r="R16" s="24">
        <f t="shared" si="2"/>
        <v>2.1608010899475003</v>
      </c>
      <c r="S16" s="24">
        <f t="shared" si="2"/>
        <v>2.1608010899475003</v>
      </c>
      <c r="T16" s="24">
        <f t="shared" si="2"/>
        <v>2.1608010899475003</v>
      </c>
      <c r="U16" s="24">
        <f t="shared" si="2"/>
        <v>2.1608010899475003</v>
      </c>
      <c r="V16" s="24">
        <f t="shared" si="2"/>
        <v>2.1608010899475003</v>
      </c>
      <c r="W16" s="24">
        <f t="shared" si="2"/>
        <v>2.1608010899475003</v>
      </c>
      <c r="X16" s="24"/>
      <c r="Y16" s="23"/>
      <c r="Z16" s="23"/>
      <c r="AA16" s="24">
        <f>SUM(D16:X16)</f>
        <v>43.21602179895</v>
      </c>
      <c r="AB16" s="38"/>
    </row>
    <row r="17" spans="1:28" ht="19.5" customHeight="1">
      <c r="A17" s="21" t="s">
        <v>53</v>
      </c>
      <c r="B17" s="23"/>
      <c r="C17" s="23"/>
      <c r="D17" s="24">
        <f>'成本表'!G22</f>
        <v>189.05886999999998</v>
      </c>
      <c r="E17" s="24">
        <f>'成本表'!H22</f>
        <v>189.05886999999998</v>
      </c>
      <c r="F17" s="24">
        <f>'成本表'!I22</f>
        <v>189.05886999999998</v>
      </c>
      <c r="G17" s="24">
        <f>'成本表'!J22</f>
        <v>189.05886999999998</v>
      </c>
      <c r="H17" s="24">
        <f>'成本表'!K22</f>
        <v>189.05886999999998</v>
      </c>
      <c r="I17" s="24">
        <f>'成本表'!L22</f>
        <v>189.05886999999998</v>
      </c>
      <c r="J17" s="24">
        <f>'成本表'!M22</f>
        <v>189.05886999999998</v>
      </c>
      <c r="K17" s="24">
        <f>'成本表'!N22</f>
        <v>189.05886999999998</v>
      </c>
      <c r="L17" s="24">
        <f>'成本表'!O22</f>
        <v>189.05886999999998</v>
      </c>
      <c r="M17" s="24">
        <f>'成本表'!P22</f>
        <v>189.05886999999998</v>
      </c>
      <c r="N17" s="24">
        <f>'成本表'!Q22</f>
        <v>189.05886999999998</v>
      </c>
      <c r="O17" s="24">
        <f>'成本表'!R22</f>
        <v>189.05886999999998</v>
      </c>
      <c r="P17" s="24">
        <f>'成本表'!S22</f>
        <v>189.05886999999998</v>
      </c>
      <c r="Q17" s="24">
        <f>'成本表'!T22</f>
        <v>189.05886999999998</v>
      </c>
      <c r="R17" s="24">
        <f>'成本表'!U22</f>
        <v>189.05886999999998</v>
      </c>
      <c r="S17" s="24">
        <f>'成本表'!V22</f>
        <v>189.05886999999998</v>
      </c>
      <c r="T17" s="24">
        <f>'成本表'!W22</f>
        <v>189.05886999999998</v>
      </c>
      <c r="U17" s="24">
        <f>'成本表'!X22</f>
        <v>189.05886999999998</v>
      </c>
      <c r="V17" s="24">
        <f>'成本表'!Y22</f>
        <v>189.05886999999998</v>
      </c>
      <c r="W17" s="24">
        <f>'成本表'!Z22</f>
        <v>189.05886999999998</v>
      </c>
      <c r="X17" s="24"/>
      <c r="Y17" s="23"/>
      <c r="Z17" s="23"/>
      <c r="AA17" s="24">
        <f>SUM(D17:X17)</f>
        <v>3781.1773999999987</v>
      </c>
      <c r="AB17" s="38"/>
    </row>
    <row r="18" spans="1:28" ht="19.5" customHeight="1">
      <c r="A18" s="21" t="s">
        <v>60</v>
      </c>
      <c r="B18" s="23"/>
      <c r="C18" s="23"/>
      <c r="D18" s="24">
        <f>'损益表'!D6</f>
        <v>55.50933999999999</v>
      </c>
      <c r="E18" s="24">
        <f>'损益表'!E6</f>
        <v>55.50933999999999</v>
      </c>
      <c r="F18" s="24">
        <f>'损益表'!F6</f>
        <v>55.50933999999999</v>
      </c>
      <c r="G18" s="24">
        <f>'损益表'!G6</f>
        <v>55.50933999999999</v>
      </c>
      <c r="H18" s="24">
        <f>'损益表'!H6</f>
        <v>55.50933999999999</v>
      </c>
      <c r="I18" s="24">
        <f>'损益表'!I6</f>
        <v>55.50933999999999</v>
      </c>
      <c r="J18" s="24">
        <f>'损益表'!J6</f>
        <v>55.50933999999999</v>
      </c>
      <c r="K18" s="24">
        <f>'损益表'!K6</f>
        <v>55.50933999999999</v>
      </c>
      <c r="L18" s="24">
        <f>'损益表'!L6</f>
        <v>55.50933999999999</v>
      </c>
      <c r="M18" s="24">
        <f>'损益表'!M6</f>
        <v>55.50933999999999</v>
      </c>
      <c r="N18" s="24">
        <f>'损益表'!N6</f>
        <v>55.50933999999999</v>
      </c>
      <c r="O18" s="24">
        <f>'损益表'!O6</f>
        <v>55.50933999999999</v>
      </c>
      <c r="P18" s="24">
        <f>'损益表'!P6</f>
        <v>55.50933999999999</v>
      </c>
      <c r="Q18" s="24">
        <f>'损益表'!Q6</f>
        <v>55.50933999999999</v>
      </c>
      <c r="R18" s="24">
        <f>'损益表'!R6</f>
        <v>55.50933999999999</v>
      </c>
      <c r="S18" s="24">
        <f>'损益表'!S6</f>
        <v>55.50933999999999</v>
      </c>
      <c r="T18" s="24">
        <f>'损益表'!T6</f>
        <v>55.50933999999999</v>
      </c>
      <c r="U18" s="24">
        <f>'损益表'!U6</f>
        <v>55.50933999999999</v>
      </c>
      <c r="V18" s="24">
        <f>'损益表'!V6</f>
        <v>55.50933999999999</v>
      </c>
      <c r="W18" s="24">
        <f>'损益表'!W6</f>
        <v>55.50933999999999</v>
      </c>
      <c r="X18" s="23"/>
      <c r="Y18" s="23"/>
      <c r="Z18" s="23"/>
      <c r="AA18" s="24">
        <f>SUM(D18:X18)</f>
        <v>1110.1867999999997</v>
      </c>
      <c r="AB18" s="38"/>
    </row>
    <row r="19" spans="1:28" ht="19.5" customHeight="1">
      <c r="A19" s="21" t="s">
        <v>67</v>
      </c>
      <c r="B19" s="23"/>
      <c r="C19" s="23"/>
      <c r="D19" s="24">
        <f>'损益表'!D14</f>
        <v>45.80967234031733</v>
      </c>
      <c r="E19" s="24">
        <f>'损益表'!E14</f>
        <v>45.80967234031733</v>
      </c>
      <c r="F19" s="24">
        <f>'损益表'!F14</f>
        <v>45.80967234031733</v>
      </c>
      <c r="G19" s="24">
        <f>'损益表'!G14</f>
        <v>45.80967234031733</v>
      </c>
      <c r="H19" s="24">
        <f>'损益表'!H14</f>
        <v>45.80967234031733</v>
      </c>
      <c r="I19" s="24">
        <f>'损益表'!I14</f>
        <v>45.80967234031733</v>
      </c>
      <c r="J19" s="24">
        <f>'损益表'!J14</f>
        <v>45.80967234031733</v>
      </c>
      <c r="K19" s="24">
        <f>'损益表'!K14</f>
        <v>45.80967234031733</v>
      </c>
      <c r="L19" s="24">
        <f>'损益表'!L14</f>
        <v>45.80967234031733</v>
      </c>
      <c r="M19" s="24">
        <f>'损益表'!M14</f>
        <v>45.80967234031733</v>
      </c>
      <c r="N19" s="24">
        <f>'损益表'!N14</f>
        <v>54.81966234031732</v>
      </c>
      <c r="O19" s="24">
        <f>'损益表'!O14</f>
        <v>54.81966234031732</v>
      </c>
      <c r="P19" s="24">
        <f>'损益表'!P14</f>
        <v>54.81966234031732</v>
      </c>
      <c r="Q19" s="24">
        <f>'损益表'!Q14</f>
        <v>54.81966234031732</v>
      </c>
      <c r="R19" s="24">
        <f>'损益表'!R14</f>
        <v>54.81966234031732</v>
      </c>
      <c r="S19" s="24">
        <f>'损益表'!S14</f>
        <v>54.81966234031732</v>
      </c>
      <c r="T19" s="24">
        <f>'损益表'!T14</f>
        <v>54.81966234031732</v>
      </c>
      <c r="U19" s="24">
        <f>'损益表'!U14</f>
        <v>54.81966234031732</v>
      </c>
      <c r="V19" s="24">
        <f>'损益表'!V14</f>
        <v>54.81966234031732</v>
      </c>
      <c r="W19" s="24">
        <f>'损益表'!W14</f>
        <v>54.81966234031732</v>
      </c>
      <c r="X19" s="23"/>
      <c r="Y19" s="23"/>
      <c r="Z19" s="23"/>
      <c r="AA19" s="24">
        <f>SUM(D19:X19)</f>
        <v>1006.2933468063466</v>
      </c>
      <c r="AB19" s="38"/>
    </row>
    <row r="20" spans="1:28" ht="19.5" customHeight="1">
      <c r="A20" s="21" t="s">
        <v>134</v>
      </c>
      <c r="B20" s="35">
        <f aca="true" t="shared" si="3" ref="B20:W20">B6-B10</f>
        <v>-1250</v>
      </c>
      <c r="C20" s="35">
        <f t="shared" si="3"/>
        <v>-1253.73</v>
      </c>
      <c r="D20" s="44">
        <f t="shared" si="3"/>
        <v>204.28190131973514</v>
      </c>
      <c r="E20" s="50">
        <f t="shared" si="3"/>
        <v>218.46131656973512</v>
      </c>
      <c r="F20" s="50">
        <f t="shared" si="3"/>
        <v>218.46131656973512</v>
      </c>
      <c r="G20" s="50">
        <f t="shared" si="3"/>
        <v>218.46131656973512</v>
      </c>
      <c r="H20" s="50">
        <f t="shared" si="3"/>
        <v>218.46131656973512</v>
      </c>
      <c r="I20" s="50">
        <f t="shared" si="3"/>
        <v>218.46131656973512</v>
      </c>
      <c r="J20" s="50">
        <f t="shared" si="3"/>
        <v>218.46131656973512</v>
      </c>
      <c r="K20" s="50">
        <f t="shared" si="3"/>
        <v>218.46131656973512</v>
      </c>
      <c r="L20" s="50">
        <f t="shared" si="3"/>
        <v>218.46131656973512</v>
      </c>
      <c r="M20" s="50">
        <f t="shared" si="3"/>
        <v>218.46131656973512</v>
      </c>
      <c r="N20" s="50">
        <f t="shared" si="3"/>
        <v>209.45132656973516</v>
      </c>
      <c r="O20" s="50">
        <f t="shared" si="3"/>
        <v>209.45132656973516</v>
      </c>
      <c r="P20" s="50">
        <f t="shared" si="3"/>
        <v>209.45132656973516</v>
      </c>
      <c r="Q20" s="50">
        <f t="shared" si="3"/>
        <v>209.45132656973516</v>
      </c>
      <c r="R20" s="50">
        <f t="shared" si="3"/>
        <v>209.45132656973516</v>
      </c>
      <c r="S20" s="50">
        <f t="shared" si="3"/>
        <v>209.45132656973516</v>
      </c>
      <c r="T20" s="50">
        <f t="shared" si="3"/>
        <v>209.45132656973516</v>
      </c>
      <c r="U20" s="50">
        <f t="shared" si="3"/>
        <v>209.45132656973516</v>
      </c>
      <c r="V20" s="50">
        <f t="shared" si="3"/>
        <v>209.45132656973516</v>
      </c>
      <c r="W20" s="50">
        <f t="shared" si="3"/>
        <v>491.3147418197351</v>
      </c>
      <c r="X20" s="23"/>
      <c r="Y20" s="23"/>
      <c r="Z20" s="23"/>
      <c r="AA20" s="24">
        <f>SUM(B20:X20)</f>
        <v>2043.0804313947024</v>
      </c>
      <c r="AB20" s="38"/>
    </row>
  </sheetData>
  <mergeCells count="2">
    <mergeCell ref="C2:J2"/>
    <mergeCell ref="P2:W2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2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13"/>
  <sheetViews>
    <sheetView zoomScale="75" zoomScaleNormal="75" workbookViewId="0" topLeftCell="A1">
      <selection activeCell="F21" sqref="F21"/>
    </sheetView>
  </sheetViews>
  <sheetFormatPr defaultColWidth="9.00390625" defaultRowHeight="14.25"/>
  <cols>
    <col min="1" max="1" width="21.625" style="0" customWidth="1"/>
    <col min="2" max="10" width="10.625" style="0" customWidth="1"/>
  </cols>
  <sheetData>
    <row r="2" spans="3:8" ht="51" customHeight="1">
      <c r="C2" s="46"/>
      <c r="D2" s="85" t="s">
        <v>155</v>
      </c>
      <c r="E2" s="85"/>
      <c r="F2" s="85"/>
      <c r="G2" s="85"/>
      <c r="H2" s="46"/>
    </row>
    <row r="3" spans="3:8" ht="10.5" customHeight="1">
      <c r="C3" s="53"/>
      <c r="D3" s="53"/>
      <c r="E3" s="53"/>
      <c r="F3" s="53"/>
      <c r="G3" s="53"/>
      <c r="H3" s="53"/>
    </row>
    <row r="4" spans="1:10" ht="35.25" customHeight="1">
      <c r="A4" s="20" t="s">
        <v>31</v>
      </c>
      <c r="B4" s="65">
        <v>-0.2</v>
      </c>
      <c r="C4" s="66">
        <v>-0.15</v>
      </c>
      <c r="D4" s="66">
        <v>-0.1</v>
      </c>
      <c r="E4" s="66">
        <v>-0.05</v>
      </c>
      <c r="F4" s="20" t="s">
        <v>156</v>
      </c>
      <c r="G4" s="66">
        <v>0.05</v>
      </c>
      <c r="H4" s="66">
        <v>0.1</v>
      </c>
      <c r="I4" s="66">
        <v>0.15</v>
      </c>
      <c r="J4" s="66">
        <v>0.2</v>
      </c>
    </row>
    <row r="5" spans="1:10" ht="30" customHeight="1">
      <c r="A5" s="21" t="s">
        <v>157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0" customHeight="1">
      <c r="A6" s="67" t="s">
        <v>158</v>
      </c>
      <c r="B6" s="68">
        <f>'全部流量表'!D33</f>
        <v>-0.0006927923788867014</v>
      </c>
      <c r="C6" s="69">
        <f>(B6+D6)*0.5</f>
        <v>0.014140665555992915</v>
      </c>
      <c r="D6" s="69">
        <f>(B6+F6)*0.5</f>
        <v>0.02897412349087253</v>
      </c>
      <c r="E6" s="69">
        <f>(D6+F6)*0.5</f>
        <v>0.04380758142575215</v>
      </c>
      <c r="F6" s="68">
        <f>'全部流量表'!E25</f>
        <v>0.058641039360631766</v>
      </c>
      <c r="G6" s="69">
        <f>(F6+H6)*0.5</f>
        <v>0.0703675433341508</v>
      </c>
      <c r="H6" s="69">
        <f>(F6+J6)*0.5</f>
        <v>0.08209404730766984</v>
      </c>
      <c r="I6" s="69">
        <f>(H6+J6)*0.5</f>
        <v>0.09382055128118888</v>
      </c>
      <c r="J6" s="68">
        <f>'全部流量表'!D27</f>
        <v>0.10554705525470792</v>
      </c>
    </row>
    <row r="7" spans="1:10" ht="30" customHeight="1">
      <c r="A7" s="67" t="s">
        <v>159</v>
      </c>
      <c r="B7" s="24">
        <f>'全部流量表'!E33</f>
        <v>23.32</v>
      </c>
      <c r="C7" s="24">
        <f>(B7+D7)*0.488</f>
        <v>20.170565</v>
      </c>
      <c r="D7" s="24">
        <f>(B7+F7)*0.5*0.975</f>
        <v>18.013125000000002</v>
      </c>
      <c r="E7" s="24">
        <f>(D7+F7)*0.488</f>
        <v>15.441845000000002</v>
      </c>
      <c r="F7" s="23">
        <f>'全部流量表'!H25</f>
        <v>13.63</v>
      </c>
      <c r="G7" s="24">
        <f>(F7+H7)*0.488</f>
        <v>12.12637056</v>
      </c>
      <c r="H7" s="24">
        <f>(F7+J7)*0.488</f>
        <v>11.21912</v>
      </c>
      <c r="I7" s="24">
        <f>(H7+J7)*0.488</f>
        <v>10.04261056</v>
      </c>
      <c r="J7" s="23">
        <f>'全部流量表'!E27</f>
        <v>9.36</v>
      </c>
    </row>
    <row r="8" spans="1:10" ht="30" customHeight="1">
      <c r="A8" s="21" t="s">
        <v>160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30" customHeight="1">
      <c r="A9" s="67" t="s">
        <v>158</v>
      </c>
      <c r="B9" s="68">
        <f>'全部流量表'!D45</f>
        <v>0.08451365230844546</v>
      </c>
      <c r="C9" s="69">
        <f>(B9+D9)*0.5</f>
        <v>0.07804549907149204</v>
      </c>
      <c r="D9" s="69">
        <f>(B9+F9)*0.5</f>
        <v>0.07157734583453862</v>
      </c>
      <c r="E9" s="69">
        <f>(D9+F9)*0.5</f>
        <v>0.06510919259758519</v>
      </c>
      <c r="F9" s="68">
        <f>F6</f>
        <v>0.058641039360631766</v>
      </c>
      <c r="G9" s="69">
        <f>(F9+H9)*0.5</f>
        <v>0.053837993275422824</v>
      </c>
      <c r="H9" s="69">
        <f>(F9+J9)*0.5</f>
        <v>0.04903494719021388</v>
      </c>
      <c r="I9" s="69">
        <f>(H9+J9)*0.5</f>
        <v>0.04423190110500494</v>
      </c>
      <c r="J9" s="68">
        <f>'全部流量表'!D39</f>
        <v>0.039428855019796</v>
      </c>
    </row>
    <row r="10" spans="1:10" ht="30" customHeight="1">
      <c r="A10" s="67" t="s">
        <v>159</v>
      </c>
      <c r="B10" s="23">
        <f>'全部流量表'!E45</f>
        <v>11.33</v>
      </c>
      <c r="C10" s="24">
        <f>(B10+D10)*0.488</f>
        <v>11.473114240000001</v>
      </c>
      <c r="D10" s="24">
        <f>(B10+F10)*0.488</f>
        <v>12.18048</v>
      </c>
      <c r="E10" s="24">
        <f>(D10+F10)*0.488</f>
        <v>12.595514239999998</v>
      </c>
      <c r="F10" s="23">
        <f>F7</f>
        <v>13.63</v>
      </c>
      <c r="G10" s="24">
        <f>(F10+H10)*0.488</f>
        <v>13.54094592</v>
      </c>
      <c r="H10" s="24">
        <f>(F10+J10)*0.488</f>
        <v>14.11784</v>
      </c>
      <c r="I10" s="24">
        <f>(H10+J10)*0.488</f>
        <v>14.35590592</v>
      </c>
      <c r="J10" s="23">
        <f>'全部流量表'!E39</f>
        <v>15.3</v>
      </c>
    </row>
    <row r="11" spans="1:10" ht="30" customHeight="1">
      <c r="A11" s="21" t="s">
        <v>161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30" customHeight="1">
      <c r="A12" s="67" t="s">
        <v>158</v>
      </c>
      <c r="B12" s="68">
        <f>'全部流量表'!D57</f>
        <v>0.07669581173109763</v>
      </c>
      <c r="C12" s="69">
        <f>(B12+D12)*0.5</f>
        <v>0.07218211863848116</v>
      </c>
      <c r="D12" s="69">
        <f>(B12+F12)*0.5</f>
        <v>0.06766842554586469</v>
      </c>
      <c r="E12" s="69">
        <f>(D12+F12)*0.5</f>
        <v>0.06315473245324824</v>
      </c>
      <c r="F12" s="68">
        <f>F6</f>
        <v>0.058641039360631766</v>
      </c>
      <c r="G12" s="69">
        <f>(F12+H12)*0.5</f>
        <v>0.053780303509214075</v>
      </c>
      <c r="H12" s="69">
        <f>(F12+J12)*0.5</f>
        <v>0.04891956765779639</v>
      </c>
      <c r="I12" s="69">
        <f>(H12+J12)*0.5</f>
        <v>0.04405883180637871</v>
      </c>
      <c r="J12" s="68">
        <f>'全部流量表'!D51</f>
        <v>0.039198095954961015</v>
      </c>
    </row>
    <row r="13" spans="1:10" ht="30" customHeight="1">
      <c r="A13" s="67" t="s">
        <v>159</v>
      </c>
      <c r="B13" s="23">
        <f>'全部流量表'!E57</f>
        <v>11.66</v>
      </c>
      <c r="C13" s="24">
        <f>(B13+D13)*0.5</f>
        <v>12.1525</v>
      </c>
      <c r="D13" s="24">
        <f>(B13+F13)*0.5</f>
        <v>12.645</v>
      </c>
      <c r="E13" s="24">
        <f>(D13+F13)*0.5</f>
        <v>13.1375</v>
      </c>
      <c r="F13" s="23">
        <f>F10</f>
        <v>13.63</v>
      </c>
      <c r="G13" s="24">
        <f>(F13+H13)*0.5</f>
        <v>14.3825</v>
      </c>
      <c r="H13" s="24">
        <f>(F13+J13)*0.5</f>
        <v>15.135000000000002</v>
      </c>
      <c r="I13" s="24">
        <f>(H13+J13)*0.5</f>
        <v>15.887500000000001</v>
      </c>
      <c r="J13" s="23">
        <f>'全部流量表'!E51</f>
        <v>16.64</v>
      </c>
    </row>
  </sheetData>
  <mergeCells count="1">
    <mergeCell ref="D2:G2"/>
  </mergeCells>
  <printOptions/>
  <pageMargins left="0.7479166666666667" right="0.7479166666666667" top="0.9840277777777778" bottom="0.9840277777777778" header="0.5118055555555556" footer="0.5118055555555556"/>
  <pageSetup errors="NA" firstPageNumber="1" useFirstPageNumber="1" horizontalDpi="180" verticalDpi="18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 jat iqpl</dc:creator>
  <cp:keywords/>
  <dc:description/>
  <cp:lastModifiedBy>User</cp:lastModifiedBy>
  <cp:lastPrinted>2004-03-12T07:28:53Z</cp:lastPrinted>
  <dcterms:created xsi:type="dcterms:W3CDTF">1999-10-11T01:43:00Z</dcterms:created>
  <dcterms:modified xsi:type="dcterms:W3CDTF">2009-05-08T08:51:12Z</dcterms:modified>
  <cp:category/>
  <cp:version/>
  <cp:contentType/>
  <cp:contentStatus/>
</cp:coreProperties>
</file>